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225" windowWidth="19260" windowHeight="5475"/>
  </bookViews>
  <sheets>
    <sheet name="WPI 2015-2019 MARZEC" sheetId="1" r:id="rId1"/>
  </sheets>
  <externalReferences>
    <externalReference r:id="rId2"/>
    <externalReference r:id="rId3"/>
  </externalReferences>
  <definedNames>
    <definedName name="_xlnm._FilterDatabase" localSheetId="0" hidden="1">'WPI 2015-2019 MARZEC'!$A$4:$Q$423</definedName>
    <definedName name="_xlnm.Print_Area" localSheetId="0">'WPI 2015-2019 MARZEC'!$A$1:$Q$423</definedName>
    <definedName name="program">[1]Listy!$L$2:$L$18</definedName>
    <definedName name="realizacje">[1]Listy!$I$2:$I$13</definedName>
    <definedName name="robota">[1]Listy!$M$2:$M$5</definedName>
    <definedName name="tu" localSheetId="0">#REF!</definedName>
    <definedName name="tu">#REF!</definedName>
    <definedName name="_xlnm.Print_Titles" localSheetId="0">'WPI 2015-2019 MARZEC'!$3:$4</definedName>
    <definedName name="ulica">[2]Listy!$H$2:$H$820</definedName>
    <definedName name="Z_0AD42E5C_792A_42AE_B8FB_CAC8505981CC_.wvu.FilterData" localSheetId="0" hidden="1">'WPI 2015-2019 MARZEC'!$A$4:$Q$423</definedName>
    <definedName name="Z_104806EC_AEED_4D44_806D_B16C3D08BC51_.wvu.FilterData" localSheetId="0" hidden="1">'WPI 2015-2019 MARZEC'!$A$4:$Q$423</definedName>
    <definedName name="Z_1578BFAC_6750_4D8F_9C0C_811DABC3BF40_.wvu.Cols" localSheetId="0" hidden="1">'WPI 2015-2019 MARZEC'!$G:$J,'WPI 2015-2019 MARZEC'!$P:$P</definedName>
    <definedName name="Z_1578BFAC_6750_4D8F_9C0C_811DABC3BF40_.wvu.FilterData" localSheetId="0" hidden="1">'WPI 2015-2019 MARZEC'!$A$4:$Q$423</definedName>
    <definedName name="Z_1578BFAC_6750_4D8F_9C0C_811DABC3BF40_.wvu.PrintArea" localSheetId="0" hidden="1">'WPI 2015-2019 MARZEC'!$A$1:$Q$423</definedName>
    <definedName name="Z_1578BFAC_6750_4D8F_9C0C_811DABC3BF40_.wvu.PrintTitles" localSheetId="0" hidden="1">'WPI 2015-2019 MARZEC'!$3:$4</definedName>
    <definedName name="Z_17652C3E_5485_4732_9CD3_6E5C80DDAFB9_.wvu.FilterData" localSheetId="0" hidden="1">'WPI 2015-2019 MARZEC'!$A$4:$Q$423</definedName>
    <definedName name="Z_17DB2E1D_C059_4A0F_A491_B393E102612F_.wvu.FilterData" localSheetId="0" hidden="1">'WPI 2015-2019 MARZEC'!$A$4:$Q$423</definedName>
    <definedName name="Z_1BA54981_57AB_482A_907B_4E4E3D7D6850_.wvu.FilterData" localSheetId="0" hidden="1">'WPI 2015-2019 MARZEC'!$A$4:$Q$423</definedName>
    <definedName name="Z_2081718F_AE7F_4D7E_8337_D33A1F8C2A30_.wvu.FilterData" localSheetId="0" hidden="1">'WPI 2015-2019 MARZEC'!$A$4:$Q$423</definedName>
    <definedName name="Z_25132A7F_F72A_4E62_9883_326302087E8C_.wvu.Cols" localSheetId="0" hidden="1">'WPI 2015-2019 MARZEC'!$G:$J,'WPI 2015-2019 MARZEC'!$P:$P</definedName>
    <definedName name="Z_25132A7F_F72A_4E62_9883_326302087E8C_.wvu.FilterData" localSheetId="0" hidden="1">'WPI 2015-2019 MARZEC'!$A$4:$Q$423</definedName>
    <definedName name="Z_25132A7F_F72A_4E62_9883_326302087E8C_.wvu.PrintArea" localSheetId="0" hidden="1">'WPI 2015-2019 MARZEC'!$A$1:$Q$423</definedName>
    <definedName name="Z_25132A7F_F72A_4E62_9883_326302087E8C_.wvu.PrintTitles" localSheetId="0" hidden="1">'WPI 2015-2019 MARZEC'!$3:$4</definedName>
    <definedName name="Z_26069D7D_3564_483A_8FDE_6FAA7B5582D2_.wvu.FilterData" localSheetId="0" hidden="1">'WPI 2015-2019 MARZEC'!$A$4:$Q$423</definedName>
    <definedName name="Z_2BBA6912_EB98_46B0_919A_C620FCDB4EA7_.wvu.FilterData" localSheetId="0" hidden="1">'WPI 2015-2019 MARZEC'!$A$4:$Q$423</definedName>
    <definedName name="Z_30DC0534_CDAE_492B_BA01_62D433C06AED_.wvu.FilterData" localSheetId="0" hidden="1">'WPI 2015-2019 MARZEC'!$A$4:$Q$423</definedName>
    <definedName name="Z_315027BC_B490_474B_ABB7_D31E7B2B3897_.wvu.FilterData" localSheetId="0" hidden="1">'WPI 2015-2019 MARZEC'!$A$4:$Q$423</definedName>
    <definedName name="Z_326A6FD8_10D9_49EA_91A0_B174F7C5741A_.wvu.Cols" localSheetId="0" hidden="1">'WPI 2015-2019 MARZEC'!$G:$J,'WPI 2015-2019 MARZEC'!$P:$P</definedName>
    <definedName name="Z_326A6FD8_10D9_49EA_91A0_B174F7C5741A_.wvu.FilterData" localSheetId="0" hidden="1">'WPI 2015-2019 MARZEC'!$A$4:$Q$423</definedName>
    <definedName name="Z_326A6FD8_10D9_49EA_91A0_B174F7C5741A_.wvu.PrintArea" localSheetId="0" hidden="1">'WPI 2015-2019 MARZEC'!$A$1:$Q$423</definedName>
    <definedName name="Z_326A6FD8_10D9_49EA_91A0_B174F7C5741A_.wvu.PrintTitles" localSheetId="0" hidden="1">'WPI 2015-2019 MARZEC'!$3:$4</definedName>
    <definedName name="Z_34D571A8_FFCD_4F4E_8E5B_4933CFC17D6C_.wvu.Cols" localSheetId="0" hidden="1">'WPI 2015-2019 MARZEC'!$G:$J,'WPI 2015-2019 MARZEC'!$P:$P</definedName>
    <definedName name="Z_34D571A8_FFCD_4F4E_8E5B_4933CFC17D6C_.wvu.FilterData" localSheetId="0" hidden="1">'WPI 2015-2019 MARZEC'!$A$4:$Q$423</definedName>
    <definedName name="Z_34D571A8_FFCD_4F4E_8E5B_4933CFC17D6C_.wvu.PrintArea" localSheetId="0" hidden="1">'WPI 2015-2019 MARZEC'!$A$1:$Q$423</definedName>
    <definedName name="Z_34D571A8_FFCD_4F4E_8E5B_4933CFC17D6C_.wvu.PrintTitles" localSheetId="0" hidden="1">'WPI 2015-2019 MARZEC'!$3:$4</definedName>
    <definedName name="Z_3A624C83_DE34_476D_B331_5A7AC69136F3_.wvu.FilterData" localSheetId="0" hidden="1">'WPI 2015-2019 MARZEC'!$A$4:$Q$423</definedName>
    <definedName name="Z_3AE73653_CDE7_4666_BF69_A0548DD93524_.wvu.FilterData" localSheetId="0" hidden="1">'WPI 2015-2019 MARZEC'!$A$4:$Q$423</definedName>
    <definedName name="Z_3C771382_385E_4750_BD49_71014559AF66_.wvu.FilterData" localSheetId="0" hidden="1">'WPI 2015-2019 MARZEC'!$A$4:$Q$423</definedName>
    <definedName name="Z_3F51ADDD_42D5_47A3_B06A_2EB28D682C19_.wvu.Cols" localSheetId="0" hidden="1">'WPI 2015-2019 MARZEC'!$D:$E,'WPI 2015-2019 MARZEC'!$G:$G,'WPI 2015-2019 MARZEC'!$J:$J,'WPI 2015-2019 MARZEC'!$P:$P</definedName>
    <definedName name="Z_3F51ADDD_42D5_47A3_B06A_2EB28D682C19_.wvu.FilterData" localSheetId="0" hidden="1">'WPI 2015-2019 MARZEC'!$A$4:$Q$423</definedName>
    <definedName name="Z_3F51ADDD_42D5_47A3_B06A_2EB28D682C19_.wvu.PrintArea" localSheetId="0" hidden="1">'WPI 2015-2019 MARZEC'!$A$1:$Q$423</definedName>
    <definedName name="Z_3F51ADDD_42D5_47A3_B06A_2EB28D682C19_.wvu.PrintTitles" localSheetId="0" hidden="1">'WPI 2015-2019 MARZEC'!$3:$4</definedName>
    <definedName name="Z_43E2D71E_F1CE_4AB1_897F_D5482DD839AB_.wvu.FilterData" localSheetId="0" hidden="1">'WPI 2015-2019 MARZEC'!$A$4:$Q$423</definedName>
    <definedName name="Z_446EB538_1D63_4A46_9AC8_E733D4E0E64A_.wvu.FilterData" localSheetId="0" hidden="1">'WPI 2015-2019 MARZEC'!$A$4:$Q$423</definedName>
    <definedName name="Z_461CD8D6_D1E5_446F_AAA4_EA3C45BC9517_.wvu.FilterData" localSheetId="0" hidden="1">'WPI 2015-2019 MARZEC'!$A$4:$Q$423</definedName>
    <definedName name="Z_49F2CA05_2429_453E_9200_1C70CE3A2426_.wvu.FilterData" localSheetId="0" hidden="1">'WPI 2015-2019 MARZEC'!$A$4:$Q$423</definedName>
    <definedName name="Z_59C6A334_E40F_424D_AFA6_5CA2698197C9_.wvu.Cols" localSheetId="0" hidden="1">'WPI 2015-2019 MARZEC'!$G:$J,'WPI 2015-2019 MARZEC'!$P:$P</definedName>
    <definedName name="Z_59C6A334_E40F_424D_AFA6_5CA2698197C9_.wvu.FilterData" localSheetId="0" hidden="1">'WPI 2015-2019 MARZEC'!$A$4:$Q$423</definedName>
    <definedName name="Z_59C6A334_E40F_424D_AFA6_5CA2698197C9_.wvu.PrintArea" localSheetId="0" hidden="1">'WPI 2015-2019 MARZEC'!$A$1:$Q$423</definedName>
    <definedName name="Z_59C6A334_E40F_424D_AFA6_5CA2698197C9_.wvu.PrintTitles" localSheetId="0" hidden="1">'WPI 2015-2019 MARZEC'!$3:$4</definedName>
    <definedName name="Z_5BE5C1AE_67B7_46EF_92E8_6D2403EF82AB_.wvu.Cols" localSheetId="0" hidden="1">'WPI 2015-2019 MARZEC'!$G:$J,'WPI 2015-2019 MARZEC'!$P:$P</definedName>
    <definedName name="Z_5BE5C1AE_67B7_46EF_92E8_6D2403EF82AB_.wvu.FilterData" localSheetId="0" hidden="1">'WPI 2015-2019 MARZEC'!$A$4:$Q$423</definedName>
    <definedName name="Z_5BE5C1AE_67B7_46EF_92E8_6D2403EF82AB_.wvu.PrintArea" localSheetId="0" hidden="1">'WPI 2015-2019 MARZEC'!$A$1:$Q$423</definedName>
    <definedName name="Z_5BE5C1AE_67B7_46EF_92E8_6D2403EF82AB_.wvu.PrintTitles" localSheetId="0" hidden="1">'WPI 2015-2019 MARZEC'!$3:$4</definedName>
    <definedName name="Z_5EF12E5E_2643_4CC2_95EC_7877491BF48B_.wvu.FilterData" localSheetId="0" hidden="1">'WPI 2015-2019 MARZEC'!$A$4:$Q$423</definedName>
    <definedName name="Z_605FFDC4_94BB_439E_93F4_B52F347AAB28_.wvu.FilterData" localSheetId="0" hidden="1">'WPI 2015-2019 MARZEC'!$A$2:$Q$423</definedName>
    <definedName name="Z_626D4ED8_14BE_44D6_AAEB_1E998D56F803_.wvu.FilterData" localSheetId="0" hidden="1">'WPI 2015-2019 MARZEC'!$A$4:$Q$423</definedName>
    <definedName name="Z_638FAD33_8A3D_4DE6_8F5D_8BEE3E467078_.wvu.FilterData" localSheetId="0" hidden="1">'WPI 2015-2019 MARZEC'!$A$4:$Q$423</definedName>
    <definedName name="Z_6534B710_701F_4BE7_8266_FF4576534B4B_.wvu.FilterData" localSheetId="0" hidden="1">'WPI 2015-2019 MARZEC'!$A$4:$Q$423</definedName>
    <definedName name="Z_685C3007_D645_47EA_A49D_59763EC5C30E_.wvu.FilterData" localSheetId="0" hidden="1">'WPI 2015-2019 MARZEC'!$A$4:$Q$423</definedName>
    <definedName name="Z_68F103B9_B02E_4D94_9C32_DA9263AFAF10_.wvu.Cols" localSheetId="0" hidden="1">'WPI 2015-2019 MARZEC'!$G:$J,'WPI 2015-2019 MARZEC'!$P:$P</definedName>
    <definedName name="Z_68F103B9_B02E_4D94_9C32_DA9263AFAF10_.wvu.FilterData" localSheetId="0" hidden="1">'WPI 2015-2019 MARZEC'!$A$4:$Q$423</definedName>
    <definedName name="Z_68F103B9_B02E_4D94_9C32_DA9263AFAF10_.wvu.PrintArea" localSheetId="0" hidden="1">'WPI 2015-2019 MARZEC'!$A$1:$Q$423</definedName>
    <definedName name="Z_68F103B9_B02E_4D94_9C32_DA9263AFAF10_.wvu.PrintTitles" localSheetId="0" hidden="1">'WPI 2015-2019 MARZEC'!$3:$4</definedName>
    <definedName name="Z_6F1D52FA_D488_4BBD_A607_41D337821681_.wvu.FilterData" localSheetId="0" hidden="1">'WPI 2015-2019 MARZEC'!$A$4:$Q$423</definedName>
    <definedName name="Z_71BD797D_C2F2_4295_8CB9_EC626A69BFDE_.wvu.FilterData" localSheetId="0" hidden="1">'WPI 2015-2019 MARZEC'!$A$4:$Q$423</definedName>
    <definedName name="Z_7C82B2EF_DDB1_4C5B_ACAB_4041D11F362F_.wvu.FilterData" localSheetId="0" hidden="1">'WPI 2015-2019 MARZEC'!$A$4:$Q$423</definedName>
    <definedName name="Z_84D823D5_E442_4636_81FC_19052F662454_.wvu.FilterData" localSheetId="0" hidden="1">'WPI 2015-2019 MARZEC'!$A$4:$Q$423</definedName>
    <definedName name="Z_86A151E3_EF64_4136_A5EA_E9B94F64012B_.wvu.FilterData" localSheetId="0" hidden="1">'WPI 2015-2019 MARZEC'!$A$4:$Q$423</definedName>
    <definedName name="Z_8F46083C_1ED3_4F85_8A98_1ED7DDC54B2A_.wvu.FilterData" localSheetId="0" hidden="1">'WPI 2015-2019 MARZEC'!$A$4:$Q$423</definedName>
    <definedName name="Z_968896DF_0685_4AE3_BB61_68422115638F_.wvu.FilterData" localSheetId="0" hidden="1">'WPI 2015-2019 MARZEC'!$A$4:$Q$423</definedName>
    <definedName name="Z_979B42A1_2304_483D_8AE8_41E1B373C1C1_.wvu.FilterData" localSheetId="0" hidden="1">'WPI 2015-2019 MARZEC'!$A$4:$Q$423</definedName>
    <definedName name="Z_98DFC291_859A_4ECA_9E94_A624BBC7B669_.wvu.FilterData" localSheetId="0" hidden="1">'WPI 2015-2019 MARZEC'!$A$4:$Q$423</definedName>
    <definedName name="Z_9BAADF5D_C0C1_453D_B85C_0E88961A8F37_.wvu.FilterData" localSheetId="0" hidden="1">'WPI 2015-2019 MARZEC'!$A$4:$Q$423</definedName>
    <definedName name="Z_A1D0FB0F_7651_4F4D_A7F1_8448EBC47465_.wvu.FilterData" localSheetId="0" hidden="1">'WPI 2015-2019 MARZEC'!$A$4:$Q$423</definedName>
    <definedName name="Z_A52E5683_6073_4DD5_94E0_6E65F34FE8BA_.wvu.FilterData" localSheetId="0" hidden="1">'WPI 2015-2019 MARZEC'!$A$4:$Q$423</definedName>
    <definedName name="Z_A6318874_8562_41A3_8C7C_E254C2405CAB_.wvu.FilterData" localSheetId="0" hidden="1">'WPI 2015-2019 MARZEC'!$A$4:$Q$423</definedName>
    <definedName name="Z_AA997A8D_2DC2_42D2_9753_0CE338F2FD10_.wvu.FilterData" localSheetId="0" hidden="1">'WPI 2015-2019 MARZEC'!$A$4:$Q$423</definedName>
    <definedName name="Z_AE520E5A_3C7F_4DBE_AAA1_3536F43FDF4B_.wvu.FilterData" localSheetId="0" hidden="1">'WPI 2015-2019 MARZEC'!$A$2:$Q$423</definedName>
    <definedName name="Z_B194B411_E98A_4B15_B935_0DB528C4AA45_.wvu.FilterData" localSheetId="0" hidden="1">'WPI 2015-2019 MARZEC'!$A$4:$Q$423</definedName>
    <definedName name="Z_B7098E46_B5E8_420E_AF0E_669235504603_.wvu.FilterData" localSheetId="0" hidden="1">'WPI 2015-2019 MARZEC'!$A$4:$Q$423</definedName>
    <definedName name="Z_B90FF94A_B110_43E4_A108_02F458B3781B_.wvu.FilterData" localSheetId="0" hidden="1">'WPI 2015-2019 MARZEC'!$A$4:$Q$423</definedName>
    <definedName name="Z_B942A9EE_ED8A_4143_B042_D9397FB15BA5_.wvu.FilterData" localSheetId="0" hidden="1">'WPI 2015-2019 MARZEC'!$A$4:$Q$423</definedName>
    <definedName name="Z_BD67984B_3A45_45BF_A4DD_10A194FAA511_.wvu.FilterData" localSheetId="0" hidden="1">'WPI 2015-2019 MARZEC'!$A$4:$Q$423</definedName>
    <definedName name="Z_BD8CBA71_72E8_418B_B28F_57EE336BE069_.wvu.FilterData" localSheetId="0" hidden="1">'WPI 2015-2019 MARZEC'!$A$4:$Q$423</definedName>
    <definedName name="Z_C553F215_A7CB_4083_B2D4_B061ECA6A9B1_.wvu.FilterData" localSheetId="0" hidden="1">'WPI 2015-2019 MARZEC'!$A$4:$Q$423</definedName>
    <definedName name="Z_C612E9E4_5778_4ADB_8F61_83B17DCA2927_.wvu.FilterData" localSheetId="0" hidden="1">'WPI 2015-2019 MARZEC'!$A$4:$Q$423</definedName>
    <definedName name="Z_C6DF9B3E_701B_4E42_9A29_90358E728F0A_.wvu.Cols" localSheetId="0" hidden="1">'WPI 2015-2019 MARZEC'!$G:$J,'WPI 2015-2019 MARZEC'!$P:$P</definedName>
    <definedName name="Z_C6DF9B3E_701B_4E42_9A29_90358E728F0A_.wvu.FilterData" localSheetId="0" hidden="1">'WPI 2015-2019 MARZEC'!$A$4:$Q$423</definedName>
    <definedName name="Z_C6DF9B3E_701B_4E42_9A29_90358E728F0A_.wvu.PrintArea" localSheetId="0" hidden="1">'WPI 2015-2019 MARZEC'!$A$1:$Q$423</definedName>
    <definedName name="Z_C6DF9B3E_701B_4E42_9A29_90358E728F0A_.wvu.PrintTitles" localSheetId="0" hidden="1">'WPI 2015-2019 MARZEC'!$3:$4</definedName>
    <definedName name="Z_C754F5F7_F520_4D29_91D6_DEE22E17C4FE_.wvu.FilterData" localSheetId="0" hidden="1">'WPI 2015-2019 MARZEC'!$A$2:$Q$423</definedName>
    <definedName name="Z_C754F5F7_F520_4D29_91D6_DEE22E17C4FE_.wvu.PrintArea" localSheetId="0" hidden="1">'WPI 2015-2019 MARZEC'!$A$2:$Q$423</definedName>
    <definedName name="Z_C754F5F7_F520_4D29_91D6_DEE22E17C4FE_.wvu.PrintTitles" localSheetId="0" hidden="1">'WPI 2015-2019 MARZEC'!$3:$4</definedName>
    <definedName name="Z_C7BE4B43_E400_4A3E_A8AE_87777F064102_.wvu.FilterData" localSheetId="0" hidden="1">'WPI 2015-2019 MARZEC'!$A$4:$Q$423</definedName>
    <definedName name="Z_CE551D1A_B7B5_44B8_8D12_65D48C1565AB_.wvu.FilterData" localSheetId="0" hidden="1">'WPI 2015-2019 MARZEC'!$A$4:$Q$423</definedName>
    <definedName name="Z_DFF25D44_9C85_4EB2_8119_6574185BCC1A_.wvu.FilterData" localSheetId="0" hidden="1">'WPI 2015-2019 MARZEC'!$A$4:$Q$423</definedName>
    <definedName name="Z_E200DF1D_4325_423C_AFAC_02599360C75F_.wvu.FilterData" localSheetId="0" hidden="1">'WPI 2015-2019 MARZEC'!$A$4:$Q$423</definedName>
    <definedName name="Z_E5599A28_98FC_41F5_866F_E036B260923C_.wvu.FilterData" localSheetId="0" hidden="1">'WPI 2015-2019 MARZEC'!$A$4:$Q$423</definedName>
    <definedName name="Z_EC76F2C3_533E_476A_9881_5BC1C0365E4E_.wvu.FilterData" localSheetId="0" hidden="1">'WPI 2015-2019 MARZEC'!$A$4:$Q$423</definedName>
    <definedName name="Z_F0119282_16E4_4719_9E3E_AE4CF0C3CC68_.wvu.FilterData" localSheetId="0" hidden="1">'WPI 2015-2019 MARZEC'!$A$4:$Q$423</definedName>
    <definedName name="Z_FBCA4904_57A4_4364_89E1_75F2C9F7D5EB_.wvu.FilterData" localSheetId="0" hidden="1">#REF!</definedName>
    <definedName name="Z_FBCA4904_57A4_4364_89E1_75F2C9F7D5EB_.wvu.FilterData" hidden="1">#REF!</definedName>
    <definedName name="Z_FBCA4904_57A4_4364_89E1_75F2C9F7D5EB_.wvu.PrintArea" localSheetId="0" hidden="1">#REF!</definedName>
    <definedName name="Z_FBCA4904_57A4_4364_89E1_75F2C9F7D5EB_.wvu.PrintArea" hidden="1">#REF!</definedName>
    <definedName name="Z_FBCA4904_57A4_4364_89E1_75F2C9F7D5EB_.wvu.PrintTitles" localSheetId="0" hidden="1">#REF!</definedName>
    <definedName name="Z_FBCA4904_57A4_4364_89E1_75F2C9F7D5EB_.wvu.PrintTitles" hidden="1">#REF!</definedName>
    <definedName name="Z_FBCA4904_57A4_4364_89E1_75F2C9F7D5EB_.wvu.Rows" localSheetId="0" hidden="1">#REF!</definedName>
    <definedName name="Z_FBCA4904_57A4_4364_89E1_75F2C9F7D5EB_.wvu.Rows" hidden="1">#REF!</definedName>
  </definedNames>
  <calcPr calcId="125725"/>
</workbook>
</file>

<file path=xl/calcChain.xml><?xml version="1.0" encoding="utf-8"?>
<calcChain xmlns="http://schemas.openxmlformats.org/spreadsheetml/2006/main">
  <c r="G402" i="1"/>
  <c r="H402"/>
  <c r="I402"/>
  <c r="J402"/>
  <c r="K402"/>
  <c r="L402"/>
  <c r="M402"/>
  <c r="N402"/>
  <c r="O402"/>
  <c r="P402"/>
  <c r="Q402"/>
  <c r="G401"/>
  <c r="H401"/>
  <c r="I401"/>
  <c r="J401"/>
  <c r="K401"/>
  <c r="L401"/>
  <c r="M401"/>
  <c r="N401"/>
  <c r="O401"/>
  <c r="P401"/>
  <c r="Q401"/>
  <c r="F401"/>
  <c r="G384"/>
  <c r="H384"/>
  <c r="I384"/>
  <c r="J384"/>
  <c r="K384"/>
  <c r="L384"/>
  <c r="M384"/>
  <c r="N384"/>
  <c r="O384"/>
  <c r="P384"/>
  <c r="Q384"/>
  <c r="G383"/>
  <c r="H383"/>
  <c r="I383"/>
  <c r="J383"/>
  <c r="K383"/>
  <c r="L383"/>
  <c r="M383"/>
  <c r="N383"/>
  <c r="O383"/>
  <c r="P383"/>
  <c r="Q383"/>
  <c r="F383"/>
  <c r="F407"/>
  <c r="F372"/>
  <c r="F371"/>
  <c r="G408"/>
  <c r="H408"/>
  <c r="I408"/>
  <c r="J408"/>
  <c r="K408"/>
  <c r="L408"/>
  <c r="M408"/>
  <c r="N408"/>
  <c r="O408"/>
  <c r="P408"/>
  <c r="Q408"/>
  <c r="G407"/>
  <c r="H407"/>
  <c r="I407"/>
  <c r="J407"/>
  <c r="K407"/>
  <c r="L407"/>
  <c r="M407"/>
  <c r="N407"/>
  <c r="O407"/>
  <c r="P407"/>
  <c r="Q407"/>
  <c r="F408"/>
  <c r="G372"/>
  <c r="H372"/>
  <c r="I372"/>
  <c r="J372"/>
  <c r="K372"/>
  <c r="L372"/>
  <c r="M372"/>
  <c r="N372"/>
  <c r="O372"/>
  <c r="P372"/>
  <c r="Q372"/>
  <c r="G371"/>
  <c r="H371"/>
  <c r="I371"/>
  <c r="J371"/>
  <c r="K371"/>
  <c r="L371"/>
  <c r="M371"/>
  <c r="N371"/>
  <c r="O371"/>
  <c r="P371"/>
  <c r="Q371"/>
  <c r="L155" l="1"/>
  <c r="M51"/>
  <c r="L73"/>
  <c r="L11"/>
  <c r="I11" s="1"/>
  <c r="F11" s="1"/>
  <c r="L124"/>
  <c r="L334"/>
  <c r="I334" s="1"/>
  <c r="F334" s="1"/>
  <c r="L121"/>
  <c r="L167"/>
  <c r="L129"/>
  <c r="Q422"/>
  <c r="P422"/>
  <c r="O422"/>
  <c r="N422"/>
  <c r="M422"/>
  <c r="L422"/>
  <c r="K422"/>
  <c r="J422"/>
  <c r="H422"/>
  <c r="G422"/>
  <c r="P421"/>
  <c r="O421"/>
  <c r="N421"/>
  <c r="K421"/>
  <c r="J421"/>
  <c r="J418" s="1"/>
  <c r="G421"/>
  <c r="Q420"/>
  <c r="P420"/>
  <c r="O420"/>
  <c r="O418" s="1"/>
  <c r="N420"/>
  <c r="M420"/>
  <c r="L420"/>
  <c r="K420"/>
  <c r="J420"/>
  <c r="G420"/>
  <c r="Q419"/>
  <c r="P419"/>
  <c r="P418" s="1"/>
  <c r="O419"/>
  <c r="N419"/>
  <c r="J419"/>
  <c r="G419"/>
  <c r="N418"/>
  <c r="G418"/>
  <c r="P414"/>
  <c r="O414"/>
  <c r="N414"/>
  <c r="M414"/>
  <c r="L414"/>
  <c r="K414"/>
  <c r="J414"/>
  <c r="G414"/>
  <c r="P413"/>
  <c r="O413"/>
  <c r="N413"/>
  <c r="M413"/>
  <c r="J413"/>
  <c r="G413"/>
  <c r="P412"/>
  <c r="O412"/>
  <c r="N412"/>
  <c r="M412"/>
  <c r="J412"/>
  <c r="G412"/>
  <c r="Q411"/>
  <c r="P411"/>
  <c r="O411"/>
  <c r="N411"/>
  <c r="M411"/>
  <c r="L411"/>
  <c r="K411"/>
  <c r="J411"/>
  <c r="G411"/>
  <c r="P410"/>
  <c r="O410"/>
  <c r="G410"/>
  <c r="O406"/>
  <c r="P406"/>
  <c r="G406"/>
  <c r="P400"/>
  <c r="N400"/>
  <c r="L400"/>
  <c r="Q400"/>
  <c r="O400"/>
  <c r="M400"/>
  <c r="J400"/>
  <c r="G400"/>
  <c r="P397"/>
  <c r="P394" s="1"/>
  <c r="O397"/>
  <c r="N397"/>
  <c r="M397"/>
  <c r="L397"/>
  <c r="K397"/>
  <c r="J397"/>
  <c r="J394" s="1"/>
  <c r="G397"/>
  <c r="Q395"/>
  <c r="P395"/>
  <c r="O395"/>
  <c r="N395"/>
  <c r="K395"/>
  <c r="J395"/>
  <c r="G395"/>
  <c r="N394"/>
  <c r="Q389"/>
  <c r="P389"/>
  <c r="O389"/>
  <c r="N389"/>
  <c r="M389"/>
  <c r="L389"/>
  <c r="J389"/>
  <c r="G389"/>
  <c r="Q388"/>
  <c r="P388"/>
  <c r="O388"/>
  <c r="N388"/>
  <c r="M388"/>
  <c r="L388"/>
  <c r="J388"/>
  <c r="G388"/>
  <c r="Q386"/>
  <c r="P386"/>
  <c r="O386"/>
  <c r="N386"/>
  <c r="M386"/>
  <c r="L386"/>
  <c r="K386"/>
  <c r="K382" s="1"/>
  <c r="J386"/>
  <c r="G386"/>
  <c r="P382"/>
  <c r="J382"/>
  <c r="F378"/>
  <c r="P377"/>
  <c r="O377"/>
  <c r="N377"/>
  <c r="M377"/>
  <c r="L377"/>
  <c r="K377"/>
  <c r="J377"/>
  <c r="G377"/>
  <c r="P376"/>
  <c r="O376"/>
  <c r="N376"/>
  <c r="M376"/>
  <c r="L376"/>
  <c r="K376"/>
  <c r="J376"/>
  <c r="G376"/>
  <c r="Q375"/>
  <c r="P375"/>
  <c r="O375"/>
  <c r="N375"/>
  <c r="M375"/>
  <c r="L375"/>
  <c r="K375"/>
  <c r="J375"/>
  <c r="G375"/>
  <c r="P370"/>
  <c r="J370"/>
  <c r="Q370"/>
  <c r="O370"/>
  <c r="G370"/>
  <c r="Q369"/>
  <c r="P369"/>
  <c r="O369"/>
  <c r="N369"/>
  <c r="M369"/>
  <c r="L369"/>
  <c r="K369"/>
  <c r="J369"/>
  <c r="G369"/>
  <c r="P365"/>
  <c r="P364" s="1"/>
  <c r="O365"/>
  <c r="K365"/>
  <c r="K364" s="1"/>
  <c r="J365"/>
  <c r="G365"/>
  <c r="G364" s="1"/>
  <c r="O364"/>
  <c r="J364"/>
  <c r="Q363"/>
  <c r="P363"/>
  <c r="P358" s="1"/>
  <c r="O363"/>
  <c r="N363"/>
  <c r="M363"/>
  <c r="L363"/>
  <c r="K363"/>
  <c r="J363"/>
  <c r="G363"/>
  <c r="Q362"/>
  <c r="P362"/>
  <c r="O362"/>
  <c r="N362"/>
  <c r="M362"/>
  <c r="J362"/>
  <c r="H362"/>
  <c r="G362"/>
  <c r="Q360"/>
  <c r="P360"/>
  <c r="O360"/>
  <c r="N360"/>
  <c r="M360"/>
  <c r="L360"/>
  <c r="K360"/>
  <c r="J360"/>
  <c r="G360"/>
  <c r="P359"/>
  <c r="G359"/>
  <c r="P357"/>
  <c r="O357"/>
  <c r="N357"/>
  <c r="N351" s="1"/>
  <c r="M357"/>
  <c r="L357"/>
  <c r="J357"/>
  <c r="G357"/>
  <c r="G351" s="1"/>
  <c r="O356"/>
  <c r="N356"/>
  <c r="M356"/>
  <c r="L356"/>
  <c r="J356"/>
  <c r="G356"/>
  <c r="G350" s="1"/>
  <c r="P354"/>
  <c r="O354"/>
  <c r="O348" s="1"/>
  <c r="N354"/>
  <c r="M354"/>
  <c r="M348" s="1"/>
  <c r="L354"/>
  <c r="K354"/>
  <c r="J354"/>
  <c r="G354"/>
  <c r="G348" s="1"/>
  <c r="G353"/>
  <c r="P351"/>
  <c r="L351"/>
  <c r="E351"/>
  <c r="O350"/>
  <c r="E350"/>
  <c r="O349"/>
  <c r="N349"/>
  <c r="K349"/>
  <c r="J349"/>
  <c r="G349"/>
  <c r="E349"/>
  <c r="K348"/>
  <c r="E348"/>
  <c r="E347"/>
  <c r="I341"/>
  <c r="I420" s="1"/>
  <c r="H341"/>
  <c r="H420" s="1"/>
  <c r="F341"/>
  <c r="F420" s="1"/>
  <c r="I340"/>
  <c r="I422" s="1"/>
  <c r="I339"/>
  <c r="H339"/>
  <c r="F339"/>
  <c r="Q338"/>
  <c r="P338"/>
  <c r="O338"/>
  <c r="N338"/>
  <c r="M338"/>
  <c r="L338"/>
  <c r="K338"/>
  <c r="J338"/>
  <c r="G338"/>
  <c r="H338" s="1"/>
  <c r="I337"/>
  <c r="F337" s="1"/>
  <c r="E336" s="1"/>
  <c r="Q336"/>
  <c r="P336"/>
  <c r="O336"/>
  <c r="N336"/>
  <c r="M336"/>
  <c r="L336"/>
  <c r="K336"/>
  <c r="J336"/>
  <c r="G336"/>
  <c r="H336" s="1"/>
  <c r="Q335"/>
  <c r="I335"/>
  <c r="H335"/>
  <c r="F335"/>
  <c r="H334"/>
  <c r="Q333"/>
  <c r="P333"/>
  <c r="O333"/>
  <c r="N333"/>
  <c r="M333"/>
  <c r="K333"/>
  <c r="J333"/>
  <c r="H333"/>
  <c r="G333"/>
  <c r="M332"/>
  <c r="M331" s="1"/>
  <c r="K332"/>
  <c r="K419" s="1"/>
  <c r="I332"/>
  <c r="H332"/>
  <c r="F332"/>
  <c r="E331" s="1"/>
  <c r="Q331"/>
  <c r="P331"/>
  <c r="O331"/>
  <c r="N331"/>
  <c r="L331"/>
  <c r="K331"/>
  <c r="J331"/>
  <c r="H331"/>
  <c r="G331"/>
  <c r="Q330"/>
  <c r="Q421" s="1"/>
  <c r="Q418" s="1"/>
  <c r="M330"/>
  <c r="M421" s="1"/>
  <c r="M349" s="1"/>
  <c r="L330"/>
  <c r="L421" s="1"/>
  <c r="L349" s="1"/>
  <c r="H330"/>
  <c r="H421" s="1"/>
  <c r="M329"/>
  <c r="M419" s="1"/>
  <c r="M418" s="1"/>
  <c r="L329"/>
  <c r="I329"/>
  <c r="H329"/>
  <c r="F329"/>
  <c r="P328"/>
  <c r="O328"/>
  <c r="N328"/>
  <c r="L328"/>
  <c r="K328"/>
  <c r="J328"/>
  <c r="G328"/>
  <c r="L327"/>
  <c r="L419" s="1"/>
  <c r="H327"/>
  <c r="Q326"/>
  <c r="P326"/>
  <c r="O326"/>
  <c r="N326"/>
  <c r="M326"/>
  <c r="K326"/>
  <c r="J326"/>
  <c r="G326"/>
  <c r="I324"/>
  <c r="H324"/>
  <c r="F324"/>
  <c r="E323" s="1"/>
  <c r="Q323"/>
  <c r="P323"/>
  <c r="O323"/>
  <c r="N323"/>
  <c r="M323"/>
  <c r="L323"/>
  <c r="I323" s="1"/>
  <c r="K323"/>
  <c r="J323"/>
  <c r="G323"/>
  <c r="I322"/>
  <c r="H322"/>
  <c r="F322"/>
  <c r="E321" s="1"/>
  <c r="Q321"/>
  <c r="P321"/>
  <c r="O321"/>
  <c r="N321"/>
  <c r="M321"/>
  <c r="L321"/>
  <c r="I321" s="1"/>
  <c r="K321"/>
  <c r="J321"/>
  <c r="G321"/>
  <c r="I320"/>
  <c r="H320"/>
  <c r="F320"/>
  <c r="I319"/>
  <c r="F319" s="1"/>
  <c r="E318" s="1"/>
  <c r="Q318"/>
  <c r="P318"/>
  <c r="O318"/>
  <c r="N318"/>
  <c r="M318"/>
  <c r="L318"/>
  <c r="K318"/>
  <c r="J318"/>
  <c r="G318"/>
  <c r="H318" s="1"/>
  <c r="I317"/>
  <c r="H317"/>
  <c r="F317"/>
  <c r="Q316"/>
  <c r="P316"/>
  <c r="O316"/>
  <c r="N316"/>
  <c r="M316"/>
  <c r="L316"/>
  <c r="K316"/>
  <c r="J316"/>
  <c r="I316"/>
  <c r="G316"/>
  <c r="H316" s="1"/>
  <c r="E316"/>
  <c r="I315"/>
  <c r="F315"/>
  <c r="E314" s="1"/>
  <c r="Q314"/>
  <c r="P314"/>
  <c r="O314"/>
  <c r="N314"/>
  <c r="M314"/>
  <c r="L314"/>
  <c r="I314" s="1"/>
  <c r="K314"/>
  <c r="J314"/>
  <c r="G314"/>
  <c r="L313"/>
  <c r="I313" s="1"/>
  <c r="F313" s="1"/>
  <c r="E312" s="1"/>
  <c r="H313"/>
  <c r="Q312"/>
  <c r="P312"/>
  <c r="O312"/>
  <c r="N312"/>
  <c r="M312"/>
  <c r="K312"/>
  <c r="J312"/>
  <c r="G312"/>
  <c r="I311"/>
  <c r="H311"/>
  <c r="F311"/>
  <c r="E310" s="1"/>
  <c r="Q310"/>
  <c r="P310"/>
  <c r="O310"/>
  <c r="N310"/>
  <c r="M310"/>
  <c r="L310"/>
  <c r="I310" s="1"/>
  <c r="K310"/>
  <c r="J310"/>
  <c r="G310"/>
  <c r="I309"/>
  <c r="H309"/>
  <c r="F309"/>
  <c r="E308" s="1"/>
  <c r="Q308"/>
  <c r="P308"/>
  <c r="O308"/>
  <c r="N308"/>
  <c r="M308"/>
  <c r="L308"/>
  <c r="I308" s="1"/>
  <c r="K308"/>
  <c r="J308"/>
  <c r="G308"/>
  <c r="Q307"/>
  <c r="Q413" s="1"/>
  <c r="L307"/>
  <c r="L306" s="1"/>
  <c r="K307"/>
  <c r="I307" s="1"/>
  <c r="F307" s="1"/>
  <c r="E306" s="1"/>
  <c r="H307"/>
  <c r="O306"/>
  <c r="N306"/>
  <c r="Q306" s="1"/>
  <c r="M306"/>
  <c r="J306"/>
  <c r="G306"/>
  <c r="I305"/>
  <c r="F305" s="1"/>
  <c r="I304"/>
  <c r="H304"/>
  <c r="H303" s="1"/>
  <c r="F304"/>
  <c r="E303" s="1"/>
  <c r="Q303"/>
  <c r="P303"/>
  <c r="O303"/>
  <c r="N303"/>
  <c r="M303"/>
  <c r="L303"/>
  <c r="K303"/>
  <c r="J303"/>
  <c r="G303"/>
  <c r="I302"/>
  <c r="H302"/>
  <c r="F302"/>
  <c r="E301" s="1"/>
  <c r="Q301"/>
  <c r="P301"/>
  <c r="O301"/>
  <c r="N301"/>
  <c r="M301"/>
  <c r="L301"/>
  <c r="K301"/>
  <c r="J301"/>
  <c r="G301"/>
  <c r="I300"/>
  <c r="H300"/>
  <c r="F300"/>
  <c r="I299"/>
  <c r="H299"/>
  <c r="F299"/>
  <c r="Q298"/>
  <c r="P298"/>
  <c r="O298"/>
  <c r="N298"/>
  <c r="M298"/>
  <c r="L298"/>
  <c r="K298"/>
  <c r="J298"/>
  <c r="G298"/>
  <c r="H298" s="1"/>
  <c r="L297"/>
  <c r="K297"/>
  <c r="K413" s="1"/>
  <c r="K412" s="1"/>
  <c r="H297"/>
  <c r="Q296"/>
  <c r="P296"/>
  <c r="O296"/>
  <c r="N296"/>
  <c r="M296"/>
  <c r="L296"/>
  <c r="K296"/>
  <c r="J296"/>
  <c r="G296"/>
  <c r="H296" s="1"/>
  <c r="Q295"/>
  <c r="Q414" s="1"/>
  <c r="I295"/>
  <c r="I414" s="1"/>
  <c r="H295"/>
  <c r="I294"/>
  <c r="H294"/>
  <c r="F294"/>
  <c r="Q293"/>
  <c r="P293"/>
  <c r="O293"/>
  <c r="N293"/>
  <c r="M293"/>
  <c r="L293"/>
  <c r="I293" s="1"/>
  <c r="K293"/>
  <c r="J293"/>
  <c r="G293"/>
  <c r="L291"/>
  <c r="K291"/>
  <c r="H291"/>
  <c r="Q290"/>
  <c r="P290"/>
  <c r="O290"/>
  <c r="N290"/>
  <c r="M290"/>
  <c r="L290"/>
  <c r="K290"/>
  <c r="J290"/>
  <c r="G290"/>
  <c r="I289"/>
  <c r="H289"/>
  <c r="F289"/>
  <c r="I288"/>
  <c r="H288"/>
  <c r="F288"/>
  <c r="L287"/>
  <c r="I287" s="1"/>
  <c r="F287" s="1"/>
  <c r="H287"/>
  <c r="P286"/>
  <c r="O286"/>
  <c r="N286"/>
  <c r="Q286" s="1"/>
  <c r="M286"/>
  <c r="K286"/>
  <c r="J286"/>
  <c r="G286"/>
  <c r="N285"/>
  <c r="L285"/>
  <c r="H285"/>
  <c r="Q284"/>
  <c r="P284"/>
  <c r="O284"/>
  <c r="N284"/>
  <c r="M284"/>
  <c r="K284"/>
  <c r="J284"/>
  <c r="G284"/>
  <c r="J283"/>
  <c r="F283" s="1"/>
  <c r="I283"/>
  <c r="H283"/>
  <c r="Q282"/>
  <c r="P282"/>
  <c r="O282"/>
  <c r="N282"/>
  <c r="M282"/>
  <c r="L282"/>
  <c r="K282"/>
  <c r="G282"/>
  <c r="N281"/>
  <c r="M281"/>
  <c r="L281"/>
  <c r="K281"/>
  <c r="I281" s="1"/>
  <c r="F281" s="1"/>
  <c r="H281"/>
  <c r="N280"/>
  <c r="M280"/>
  <c r="L280"/>
  <c r="K280"/>
  <c r="H280"/>
  <c r="Q279"/>
  <c r="P279"/>
  <c r="O279"/>
  <c r="M279"/>
  <c r="J279"/>
  <c r="G279"/>
  <c r="N278"/>
  <c r="N410" s="1"/>
  <c r="M278"/>
  <c r="L278"/>
  <c r="K278"/>
  <c r="J278"/>
  <c r="H278"/>
  <c r="N277"/>
  <c r="M277"/>
  <c r="L277"/>
  <c r="K277"/>
  <c r="K276" s="1"/>
  <c r="J277"/>
  <c r="J276" s="1"/>
  <c r="H277"/>
  <c r="Q276"/>
  <c r="P276"/>
  <c r="O276"/>
  <c r="L276"/>
  <c r="G276"/>
  <c r="I275"/>
  <c r="H275"/>
  <c r="F275"/>
  <c r="Q274"/>
  <c r="P274"/>
  <c r="O274"/>
  <c r="N274"/>
  <c r="M274"/>
  <c r="L274"/>
  <c r="I274" s="1"/>
  <c r="K274"/>
  <c r="J274"/>
  <c r="G274"/>
  <c r="Q273"/>
  <c r="Q410" s="1"/>
  <c r="Q406" s="1"/>
  <c r="I273"/>
  <c r="H273"/>
  <c r="L272"/>
  <c r="K272"/>
  <c r="K271" s="1"/>
  <c r="J272"/>
  <c r="H272"/>
  <c r="P271"/>
  <c r="O271"/>
  <c r="N271"/>
  <c r="M271"/>
  <c r="J271"/>
  <c r="G271"/>
  <c r="I270"/>
  <c r="H270"/>
  <c r="F270"/>
  <c r="I269"/>
  <c r="H269"/>
  <c r="F269"/>
  <c r="L268"/>
  <c r="K268"/>
  <c r="H268"/>
  <c r="Q267"/>
  <c r="P267"/>
  <c r="O267"/>
  <c r="N267"/>
  <c r="M267"/>
  <c r="L267"/>
  <c r="K267"/>
  <c r="J267"/>
  <c r="G267"/>
  <c r="L266"/>
  <c r="K266"/>
  <c r="H266"/>
  <c r="Q265"/>
  <c r="P265"/>
  <c r="O265"/>
  <c r="N265"/>
  <c r="M265"/>
  <c r="L265"/>
  <c r="K265"/>
  <c r="J265"/>
  <c r="G265"/>
  <c r="H265" s="1"/>
  <c r="L264"/>
  <c r="L410" s="1"/>
  <c r="K264"/>
  <c r="J264"/>
  <c r="J410" s="1"/>
  <c r="J350" s="1"/>
  <c r="L263"/>
  <c r="K263"/>
  <c r="J263"/>
  <c r="Q262"/>
  <c r="P262"/>
  <c r="O262"/>
  <c r="N262"/>
  <c r="M262"/>
  <c r="G262"/>
  <c r="I261"/>
  <c r="H261"/>
  <c r="H411" s="1"/>
  <c r="F261"/>
  <c r="I260"/>
  <c r="H260"/>
  <c r="F260"/>
  <c r="L259"/>
  <c r="K259"/>
  <c r="H259"/>
  <c r="Q258"/>
  <c r="P258"/>
  <c r="O258"/>
  <c r="N258"/>
  <c r="M258"/>
  <c r="L258"/>
  <c r="K258"/>
  <c r="J258"/>
  <c r="G258"/>
  <c r="I256"/>
  <c r="H256"/>
  <c r="F256"/>
  <c r="K255"/>
  <c r="H255"/>
  <c r="Q254"/>
  <c r="P254"/>
  <c r="O254"/>
  <c r="N254"/>
  <c r="M254"/>
  <c r="L254"/>
  <c r="K254"/>
  <c r="J254"/>
  <c r="I254"/>
  <c r="G254"/>
  <c r="H254" s="1"/>
  <c r="F254"/>
  <c r="E254" s="1"/>
  <c r="I253"/>
  <c r="H253"/>
  <c r="F253"/>
  <c r="I252"/>
  <c r="H252"/>
  <c r="F252"/>
  <c r="Q251"/>
  <c r="P251"/>
  <c r="O251"/>
  <c r="N251"/>
  <c r="M251"/>
  <c r="L251"/>
  <c r="I251" s="1"/>
  <c r="K251"/>
  <c r="J251"/>
  <c r="G251"/>
  <c r="I250"/>
  <c r="H250"/>
  <c r="F250"/>
  <c r="Q249"/>
  <c r="P249"/>
  <c r="O249"/>
  <c r="N249"/>
  <c r="M249"/>
  <c r="L249"/>
  <c r="I249" s="1"/>
  <c r="K249"/>
  <c r="J249"/>
  <c r="G249"/>
  <c r="I248"/>
  <c r="H248"/>
  <c r="F248"/>
  <c r="Q247"/>
  <c r="P247"/>
  <c r="O247"/>
  <c r="N247"/>
  <c r="M247"/>
  <c r="L247"/>
  <c r="K247"/>
  <c r="J247"/>
  <c r="G247"/>
  <c r="M245"/>
  <c r="M395" s="1"/>
  <c r="M394" s="1"/>
  <c r="H245"/>
  <c r="Q244"/>
  <c r="P244"/>
  <c r="O244"/>
  <c r="N244"/>
  <c r="M244"/>
  <c r="L244"/>
  <c r="K244"/>
  <c r="J244"/>
  <c r="G244"/>
  <c r="I243"/>
  <c r="H243"/>
  <c r="F243"/>
  <c r="Q242"/>
  <c r="P242"/>
  <c r="O242"/>
  <c r="N242"/>
  <c r="M242"/>
  <c r="L242"/>
  <c r="K242"/>
  <c r="J242"/>
  <c r="G242"/>
  <c r="H242" s="1"/>
  <c r="Q241"/>
  <c r="Q397" s="1"/>
  <c r="I241"/>
  <c r="I397" s="1"/>
  <c r="H241"/>
  <c r="H397" s="1"/>
  <c r="H349" s="1"/>
  <c r="L240"/>
  <c r="L395" s="1"/>
  <c r="L394" s="1"/>
  <c r="H240"/>
  <c r="Q239"/>
  <c r="P239"/>
  <c r="O239"/>
  <c r="N239"/>
  <c r="M239"/>
  <c r="K239"/>
  <c r="J239"/>
  <c r="G239"/>
  <c r="I237"/>
  <c r="H237"/>
  <c r="F237"/>
  <c r="Q236"/>
  <c r="P236"/>
  <c r="O236"/>
  <c r="N236"/>
  <c r="M236"/>
  <c r="L236"/>
  <c r="I236" s="1"/>
  <c r="K236"/>
  <c r="J236"/>
  <c r="G236"/>
  <c r="I235"/>
  <c r="H235"/>
  <c r="F235"/>
  <c r="Q234"/>
  <c r="P234"/>
  <c r="O234"/>
  <c r="N234"/>
  <c r="M234"/>
  <c r="L234"/>
  <c r="K234"/>
  <c r="J234"/>
  <c r="G234"/>
  <c r="K233"/>
  <c r="K389" s="1"/>
  <c r="K388" s="1"/>
  <c r="H233"/>
  <c r="Q232"/>
  <c r="P232"/>
  <c r="O232"/>
  <c r="N232"/>
  <c r="M232"/>
  <c r="L232"/>
  <c r="K232"/>
  <c r="J232"/>
  <c r="G232"/>
  <c r="Q230"/>
  <c r="I230"/>
  <c r="H230"/>
  <c r="P229"/>
  <c r="O229"/>
  <c r="N229"/>
  <c r="M229"/>
  <c r="L229"/>
  <c r="I229" s="1"/>
  <c r="K229"/>
  <c r="J229"/>
  <c r="G229"/>
  <c r="I228"/>
  <c r="H228"/>
  <c r="F228"/>
  <c r="I227"/>
  <c r="H227"/>
  <c r="F227"/>
  <c r="Q226"/>
  <c r="P226"/>
  <c r="O226"/>
  <c r="N226"/>
  <c r="M226"/>
  <c r="L226"/>
  <c r="K226"/>
  <c r="J226"/>
  <c r="G226"/>
  <c r="H226" s="1"/>
  <c r="I225"/>
  <c r="H225"/>
  <c r="F225"/>
  <c r="Q224"/>
  <c r="P224"/>
  <c r="O224"/>
  <c r="N224"/>
  <c r="M224"/>
  <c r="L224"/>
  <c r="K224"/>
  <c r="J224"/>
  <c r="G224"/>
  <c r="H224" s="1"/>
  <c r="I223"/>
  <c r="H223"/>
  <c r="F223"/>
  <c r="Q222"/>
  <c r="P222"/>
  <c r="O222"/>
  <c r="N222"/>
  <c r="M222"/>
  <c r="L222"/>
  <c r="K222"/>
  <c r="J222"/>
  <c r="H222"/>
  <c r="G222"/>
  <c r="O221"/>
  <c r="O382" s="1"/>
  <c r="N221"/>
  <c r="M221"/>
  <c r="M220" s="1"/>
  <c r="L221"/>
  <c r="I221"/>
  <c r="H221"/>
  <c r="F221"/>
  <c r="Q220"/>
  <c r="P220"/>
  <c r="N220"/>
  <c r="L220"/>
  <c r="K220"/>
  <c r="J220"/>
  <c r="G220"/>
  <c r="I219"/>
  <c r="H219"/>
  <c r="F219"/>
  <c r="I218"/>
  <c r="H218"/>
  <c r="F218"/>
  <c r="Q217"/>
  <c r="P217"/>
  <c r="O217"/>
  <c r="N217"/>
  <c r="M217"/>
  <c r="L217"/>
  <c r="K217"/>
  <c r="J217"/>
  <c r="G217"/>
  <c r="H217" s="1"/>
  <c r="I216"/>
  <c r="I386" s="1"/>
  <c r="H216"/>
  <c r="H386" s="1"/>
  <c r="F216"/>
  <c r="F386" s="1"/>
  <c r="M215"/>
  <c r="M382" s="1"/>
  <c r="L215"/>
  <c r="I215"/>
  <c r="H215"/>
  <c r="F215"/>
  <c r="Q214"/>
  <c r="P214"/>
  <c r="O214"/>
  <c r="N214"/>
  <c r="L214"/>
  <c r="K214"/>
  <c r="J214"/>
  <c r="H214"/>
  <c r="G214"/>
  <c r="I213"/>
  <c r="H213"/>
  <c r="F213"/>
  <c r="L212"/>
  <c r="I212"/>
  <c r="G212"/>
  <c r="Q211"/>
  <c r="P211"/>
  <c r="O211"/>
  <c r="N211"/>
  <c r="M211"/>
  <c r="L211"/>
  <c r="K211"/>
  <c r="J211"/>
  <c r="I211"/>
  <c r="G211"/>
  <c r="H211" s="1"/>
  <c r="I210"/>
  <c r="H210"/>
  <c r="F210"/>
  <c r="Q209"/>
  <c r="P209"/>
  <c r="O209"/>
  <c r="N209"/>
  <c r="M209"/>
  <c r="L209"/>
  <c r="I209" s="1"/>
  <c r="K209"/>
  <c r="J209"/>
  <c r="G209"/>
  <c r="I207"/>
  <c r="H207"/>
  <c r="F207"/>
  <c r="Q206"/>
  <c r="P206"/>
  <c r="O206"/>
  <c r="N206"/>
  <c r="M206"/>
  <c r="L206"/>
  <c r="I206" s="1"/>
  <c r="K206"/>
  <c r="J206"/>
  <c r="G206"/>
  <c r="Q205"/>
  <c r="Q377" s="1"/>
  <c r="Q376" s="1"/>
  <c r="I205"/>
  <c r="H205"/>
  <c r="P204"/>
  <c r="O204"/>
  <c r="N204"/>
  <c r="Q204" s="1"/>
  <c r="M204"/>
  <c r="L204"/>
  <c r="K204"/>
  <c r="J204"/>
  <c r="G204"/>
  <c r="I202"/>
  <c r="H202"/>
  <c r="F202"/>
  <c r="Q201"/>
  <c r="P201"/>
  <c r="O201"/>
  <c r="N201"/>
  <c r="M201"/>
  <c r="L201"/>
  <c r="K201"/>
  <c r="J201"/>
  <c r="G201"/>
  <c r="H201" s="1"/>
  <c r="I200"/>
  <c r="H200"/>
  <c r="F200"/>
  <c r="I199"/>
  <c r="H199"/>
  <c r="F199"/>
  <c r="Q198"/>
  <c r="P198"/>
  <c r="O198"/>
  <c r="N198"/>
  <c r="M198"/>
  <c r="L198"/>
  <c r="I198" s="1"/>
  <c r="K198"/>
  <c r="J198"/>
  <c r="G198"/>
  <c r="I197"/>
  <c r="H197"/>
  <c r="F197"/>
  <c r="I196"/>
  <c r="H196"/>
  <c r="F196"/>
  <c r="Q195"/>
  <c r="P195"/>
  <c r="O195"/>
  <c r="N195"/>
  <c r="M195"/>
  <c r="L195"/>
  <c r="K195"/>
  <c r="J195"/>
  <c r="G195"/>
  <c r="H195" s="1"/>
  <c r="I194"/>
  <c r="H194"/>
  <c r="F194"/>
  <c r="I193"/>
  <c r="H193"/>
  <c r="F193"/>
  <c r="Q192"/>
  <c r="P192"/>
  <c r="O192"/>
  <c r="N192"/>
  <c r="M192"/>
  <c r="L192"/>
  <c r="I192" s="1"/>
  <c r="K192"/>
  <c r="J192"/>
  <c r="G192"/>
  <c r="I191"/>
  <c r="H191"/>
  <c r="F191"/>
  <c r="I190"/>
  <c r="H190"/>
  <c r="F190"/>
  <c r="Q189"/>
  <c r="P189"/>
  <c r="O189"/>
  <c r="N189"/>
  <c r="M189"/>
  <c r="L189"/>
  <c r="K189"/>
  <c r="J189"/>
  <c r="G189"/>
  <c r="H189" s="1"/>
  <c r="I188"/>
  <c r="H188"/>
  <c r="F188"/>
  <c r="I187"/>
  <c r="H187"/>
  <c r="F187"/>
  <c r="Q186"/>
  <c r="P186"/>
  <c r="O186"/>
  <c r="N186"/>
  <c r="M186"/>
  <c r="L186"/>
  <c r="K186"/>
  <c r="J186"/>
  <c r="G186"/>
  <c r="I185"/>
  <c r="H185"/>
  <c r="F185"/>
  <c r="I184"/>
  <c r="H184"/>
  <c r="F184"/>
  <c r="Q183"/>
  <c r="P183"/>
  <c r="O183"/>
  <c r="N183"/>
  <c r="M183"/>
  <c r="L183"/>
  <c r="K183"/>
  <c r="J183"/>
  <c r="G183"/>
  <c r="H183" s="1"/>
  <c r="I182"/>
  <c r="H182"/>
  <c r="F182"/>
  <c r="I181"/>
  <c r="H181"/>
  <c r="F181"/>
  <c r="Q180"/>
  <c r="P180"/>
  <c r="O180"/>
  <c r="N180"/>
  <c r="M180"/>
  <c r="L180"/>
  <c r="K180"/>
  <c r="J180"/>
  <c r="G180"/>
  <c r="I179"/>
  <c r="H179"/>
  <c r="F179"/>
  <c r="I178"/>
  <c r="H178"/>
  <c r="F178"/>
  <c r="Q177"/>
  <c r="P177"/>
  <c r="O177"/>
  <c r="N177"/>
  <c r="M177"/>
  <c r="L177"/>
  <c r="K177"/>
  <c r="J177"/>
  <c r="G177"/>
  <c r="H177" s="1"/>
  <c r="I176"/>
  <c r="H176"/>
  <c r="F176"/>
  <c r="I175"/>
  <c r="H175"/>
  <c r="F175"/>
  <c r="Q174"/>
  <c r="P174"/>
  <c r="O174"/>
  <c r="N174"/>
  <c r="M174"/>
  <c r="L174"/>
  <c r="I174" s="1"/>
  <c r="K174"/>
  <c r="J174"/>
  <c r="G174"/>
  <c r="I173"/>
  <c r="F173" s="1"/>
  <c r="H173"/>
  <c r="Q172"/>
  <c r="P172"/>
  <c r="O172"/>
  <c r="N172"/>
  <c r="M172"/>
  <c r="L172"/>
  <c r="K172"/>
  <c r="J172"/>
  <c r="G172"/>
  <c r="I171"/>
  <c r="I375" s="1"/>
  <c r="H171"/>
  <c r="H375" s="1"/>
  <c r="F171"/>
  <c r="F375" s="1"/>
  <c r="I170"/>
  <c r="H170"/>
  <c r="F170"/>
  <c r="M169"/>
  <c r="L169"/>
  <c r="K169"/>
  <c r="K370" s="1"/>
  <c r="H169"/>
  <c r="Q168"/>
  <c r="P168"/>
  <c r="O168"/>
  <c r="N168"/>
  <c r="M168"/>
  <c r="L168"/>
  <c r="K168"/>
  <c r="J168"/>
  <c r="G168"/>
  <c r="N167"/>
  <c r="N370" s="1"/>
  <c r="M167"/>
  <c r="M370" s="1"/>
  <c r="H167"/>
  <c r="Q166"/>
  <c r="P166"/>
  <c r="O166"/>
  <c r="K166"/>
  <c r="J166"/>
  <c r="G166"/>
  <c r="Q164"/>
  <c r="Q365" s="1"/>
  <c r="Q364" s="1"/>
  <c r="I164"/>
  <c r="H164"/>
  <c r="P163"/>
  <c r="O163"/>
  <c r="N163"/>
  <c r="Q163" s="1"/>
  <c r="M163"/>
  <c r="L163"/>
  <c r="K163"/>
  <c r="J163"/>
  <c r="G163"/>
  <c r="I162"/>
  <c r="F162" s="1"/>
  <c r="H162"/>
  <c r="Q161"/>
  <c r="P161"/>
  <c r="O161"/>
  <c r="N161"/>
  <c r="M161"/>
  <c r="L161"/>
  <c r="K161"/>
  <c r="J161"/>
  <c r="G161"/>
  <c r="H161" s="1"/>
  <c r="I160"/>
  <c r="H160"/>
  <c r="F160"/>
  <c r="Q159"/>
  <c r="P159"/>
  <c r="O159"/>
  <c r="N159"/>
  <c r="M159"/>
  <c r="L159"/>
  <c r="K159"/>
  <c r="J159"/>
  <c r="G159"/>
  <c r="I158"/>
  <c r="I369" s="1"/>
  <c r="H158"/>
  <c r="H369" s="1"/>
  <c r="F158"/>
  <c r="F369" s="1"/>
  <c r="N157"/>
  <c r="N365" s="1"/>
  <c r="N364" s="1"/>
  <c r="M157"/>
  <c r="M365" s="1"/>
  <c r="M364" s="1"/>
  <c r="L157"/>
  <c r="L156" s="1"/>
  <c r="H157"/>
  <c r="Q156"/>
  <c r="P156"/>
  <c r="O156"/>
  <c r="K156"/>
  <c r="J156"/>
  <c r="G156"/>
  <c r="I155"/>
  <c r="H155"/>
  <c r="F155"/>
  <c r="Q154"/>
  <c r="P154"/>
  <c r="O154"/>
  <c r="N154"/>
  <c r="M154"/>
  <c r="L154"/>
  <c r="K154"/>
  <c r="J154"/>
  <c r="G154"/>
  <c r="H154" s="1"/>
  <c r="L153"/>
  <c r="H153"/>
  <c r="Q152"/>
  <c r="P152"/>
  <c r="O152"/>
  <c r="N152"/>
  <c r="M152"/>
  <c r="K152"/>
  <c r="J152"/>
  <c r="G152"/>
  <c r="Q150"/>
  <c r="Q359" s="1"/>
  <c r="K150"/>
  <c r="I150" s="1"/>
  <c r="H150"/>
  <c r="O149"/>
  <c r="N149"/>
  <c r="Q149" s="1"/>
  <c r="M149"/>
  <c r="L149"/>
  <c r="J149"/>
  <c r="G149"/>
  <c r="I148"/>
  <c r="H148"/>
  <c r="F148"/>
  <c r="Q147"/>
  <c r="P147"/>
  <c r="O147"/>
  <c r="N147"/>
  <c r="M147"/>
  <c r="L147"/>
  <c r="K147"/>
  <c r="J147"/>
  <c r="G147"/>
  <c r="O146"/>
  <c r="O145" s="1"/>
  <c r="N146"/>
  <c r="M146"/>
  <c r="M145" s="1"/>
  <c r="L146"/>
  <c r="K146"/>
  <c r="K145" s="1"/>
  <c r="J146"/>
  <c r="J359" s="1"/>
  <c r="Q145"/>
  <c r="P145"/>
  <c r="N145"/>
  <c r="G145"/>
  <c r="I144"/>
  <c r="F144" s="1"/>
  <c r="H144"/>
  <c r="I143"/>
  <c r="H143"/>
  <c r="F143"/>
  <c r="K142"/>
  <c r="I142" s="1"/>
  <c r="F142" s="1"/>
  <c r="H142"/>
  <c r="Q141"/>
  <c r="P141"/>
  <c r="O141"/>
  <c r="N141"/>
  <c r="M141"/>
  <c r="L141"/>
  <c r="K141"/>
  <c r="J141"/>
  <c r="G141"/>
  <c r="I140"/>
  <c r="H140"/>
  <c r="F140"/>
  <c r="O139"/>
  <c r="N139"/>
  <c r="M139"/>
  <c r="L139"/>
  <c r="K139"/>
  <c r="H139"/>
  <c r="Q138"/>
  <c r="P138"/>
  <c r="O138"/>
  <c r="N138"/>
  <c r="M138"/>
  <c r="L138"/>
  <c r="K138"/>
  <c r="J138"/>
  <c r="G138"/>
  <c r="H138" s="1"/>
  <c r="I137"/>
  <c r="H137"/>
  <c r="F137"/>
  <c r="I136"/>
  <c r="F136" s="1"/>
  <c r="H136"/>
  <c r="Q135"/>
  <c r="P135"/>
  <c r="O135"/>
  <c r="N135"/>
  <c r="M135"/>
  <c r="L135"/>
  <c r="K135"/>
  <c r="J135"/>
  <c r="G135"/>
  <c r="I134"/>
  <c r="F134" s="1"/>
  <c r="H134"/>
  <c r="L133"/>
  <c r="K133"/>
  <c r="H133"/>
  <c r="Q132"/>
  <c r="P132"/>
  <c r="O132"/>
  <c r="N132"/>
  <c r="M132"/>
  <c r="L132"/>
  <c r="K132"/>
  <c r="J132"/>
  <c r="G132"/>
  <c r="H132" s="1"/>
  <c r="L131"/>
  <c r="L128" s="1"/>
  <c r="K131"/>
  <c r="I130"/>
  <c r="H130"/>
  <c r="F130"/>
  <c r="O129"/>
  <c r="O128" s="1"/>
  <c r="M129"/>
  <c r="K129"/>
  <c r="I129" s="1"/>
  <c r="F129" s="1"/>
  <c r="H129"/>
  <c r="Q128"/>
  <c r="P128"/>
  <c r="N128"/>
  <c r="M128"/>
  <c r="J128"/>
  <c r="G128"/>
  <c r="I127"/>
  <c r="F127" s="1"/>
  <c r="H127"/>
  <c r="I126"/>
  <c r="H126"/>
  <c r="F126"/>
  <c r="I125"/>
  <c r="F125" s="1"/>
  <c r="H125"/>
  <c r="N124"/>
  <c r="M124"/>
  <c r="H124"/>
  <c r="Q123"/>
  <c r="P123"/>
  <c r="O123"/>
  <c r="N123"/>
  <c r="M123"/>
  <c r="L123"/>
  <c r="K123"/>
  <c r="J123"/>
  <c r="G123"/>
  <c r="H123" s="1"/>
  <c r="L122"/>
  <c r="K122"/>
  <c r="I122" s="1"/>
  <c r="F122" s="1"/>
  <c r="O121"/>
  <c r="N121"/>
  <c r="N359" s="1"/>
  <c r="N358" s="1"/>
  <c r="M121"/>
  <c r="L359"/>
  <c r="K121"/>
  <c r="I121"/>
  <c r="H121"/>
  <c r="F121"/>
  <c r="Q120"/>
  <c r="P120"/>
  <c r="O120"/>
  <c r="N120"/>
  <c r="M120"/>
  <c r="L120"/>
  <c r="J120"/>
  <c r="H120"/>
  <c r="G120"/>
  <c r="I118"/>
  <c r="H118"/>
  <c r="F118"/>
  <c r="I117"/>
  <c r="F117"/>
  <c r="I116"/>
  <c r="H116"/>
  <c r="F116"/>
  <c r="Q115"/>
  <c r="P115"/>
  <c r="O115"/>
  <c r="N115"/>
  <c r="M115"/>
  <c r="L115"/>
  <c r="K115"/>
  <c r="J115"/>
  <c r="I115"/>
  <c r="G115"/>
  <c r="H115" s="1"/>
  <c r="I114"/>
  <c r="F114" s="1"/>
  <c r="I113"/>
  <c r="H113"/>
  <c r="F113"/>
  <c r="I112"/>
  <c r="H112"/>
  <c r="F112"/>
  <c r="Q111"/>
  <c r="P111"/>
  <c r="O111"/>
  <c r="N111"/>
  <c r="M111"/>
  <c r="L111"/>
  <c r="K111"/>
  <c r="J111"/>
  <c r="G111"/>
  <c r="I110"/>
  <c r="F110" s="1"/>
  <c r="H110"/>
  <c r="I109"/>
  <c r="H109"/>
  <c r="F109"/>
  <c r="Q108"/>
  <c r="P108"/>
  <c r="O108"/>
  <c r="N108"/>
  <c r="M108"/>
  <c r="L108"/>
  <c r="K108"/>
  <c r="J108"/>
  <c r="G108"/>
  <c r="H108" s="1"/>
  <c r="I107"/>
  <c r="H107"/>
  <c r="F107"/>
  <c r="Q106"/>
  <c r="P106"/>
  <c r="O106"/>
  <c r="N106"/>
  <c r="M106"/>
  <c r="L106"/>
  <c r="K106"/>
  <c r="J106"/>
  <c r="G106"/>
  <c r="H106" s="1"/>
  <c r="I105"/>
  <c r="H105"/>
  <c r="F105"/>
  <c r="I104"/>
  <c r="F104" s="1"/>
  <c r="H104"/>
  <c r="I103"/>
  <c r="H103"/>
  <c r="F103"/>
  <c r="Q102"/>
  <c r="P102"/>
  <c r="O102"/>
  <c r="N102"/>
  <c r="M102"/>
  <c r="L102"/>
  <c r="K102"/>
  <c r="J102"/>
  <c r="I102"/>
  <c r="G102"/>
  <c r="H102" s="1"/>
  <c r="I101"/>
  <c r="F101" s="1"/>
  <c r="H101"/>
  <c r="Q100"/>
  <c r="P100"/>
  <c r="O100"/>
  <c r="N100"/>
  <c r="M100"/>
  <c r="L100"/>
  <c r="I100" s="1"/>
  <c r="K100"/>
  <c r="J100"/>
  <c r="G100"/>
  <c r="I99"/>
  <c r="H99"/>
  <c r="F99"/>
  <c r="I98"/>
  <c r="H98"/>
  <c r="F98"/>
  <c r="Q97"/>
  <c r="P97"/>
  <c r="O97"/>
  <c r="N97"/>
  <c r="M97"/>
  <c r="L97"/>
  <c r="K97"/>
  <c r="J97"/>
  <c r="G97"/>
  <c r="H97" s="1"/>
  <c r="I96"/>
  <c r="H96"/>
  <c r="F96"/>
  <c r="N95"/>
  <c r="I95" s="1"/>
  <c r="F95" s="1"/>
  <c r="H95"/>
  <c r="Q94"/>
  <c r="P94"/>
  <c r="O94"/>
  <c r="M94"/>
  <c r="L94"/>
  <c r="K94"/>
  <c r="J94"/>
  <c r="G94"/>
  <c r="I93"/>
  <c r="F93" s="1"/>
  <c r="H93"/>
  <c r="O92"/>
  <c r="I92" s="1"/>
  <c r="F92" s="1"/>
  <c r="H92"/>
  <c r="Q91"/>
  <c r="P91"/>
  <c r="O91"/>
  <c r="N91"/>
  <c r="M91"/>
  <c r="L91"/>
  <c r="K91"/>
  <c r="J91"/>
  <c r="G91"/>
  <c r="I90"/>
  <c r="F90" s="1"/>
  <c r="H90"/>
  <c r="I89"/>
  <c r="H89"/>
  <c r="F89"/>
  <c r="Q88"/>
  <c r="P88"/>
  <c r="O88"/>
  <c r="N88"/>
  <c r="M88"/>
  <c r="L88"/>
  <c r="K88"/>
  <c r="J88"/>
  <c r="G88"/>
  <c r="I87"/>
  <c r="H87"/>
  <c r="F87"/>
  <c r="O86"/>
  <c r="I86" s="1"/>
  <c r="F86" s="1"/>
  <c r="H86"/>
  <c r="Q85"/>
  <c r="P85"/>
  <c r="O85"/>
  <c r="N85"/>
  <c r="M85"/>
  <c r="L85"/>
  <c r="K85"/>
  <c r="J85"/>
  <c r="G85"/>
  <c r="H85" s="1"/>
  <c r="I84"/>
  <c r="H84"/>
  <c r="F84"/>
  <c r="L83"/>
  <c r="I83" s="1"/>
  <c r="F83" s="1"/>
  <c r="H83"/>
  <c r="Q82"/>
  <c r="P82"/>
  <c r="O82"/>
  <c r="N82"/>
  <c r="M82"/>
  <c r="K82"/>
  <c r="J82"/>
  <c r="G82"/>
  <c r="I81"/>
  <c r="F81" s="1"/>
  <c r="H81"/>
  <c r="I80"/>
  <c r="H80"/>
  <c r="F80"/>
  <c r="Q79"/>
  <c r="P79"/>
  <c r="O79"/>
  <c r="N79"/>
  <c r="M79"/>
  <c r="L79"/>
  <c r="K79"/>
  <c r="J79"/>
  <c r="G79"/>
  <c r="H79" s="1"/>
  <c r="I78"/>
  <c r="H78"/>
  <c r="F78"/>
  <c r="P77"/>
  <c r="O77"/>
  <c r="N77"/>
  <c r="M77"/>
  <c r="L77"/>
  <c r="I77" s="1"/>
  <c r="K77"/>
  <c r="J77"/>
  <c r="G77"/>
  <c r="I76"/>
  <c r="F76" s="1"/>
  <c r="M75"/>
  <c r="M74" s="1"/>
  <c r="L75"/>
  <c r="H75"/>
  <c r="Q74"/>
  <c r="P74"/>
  <c r="O74"/>
  <c r="N74"/>
  <c r="K74"/>
  <c r="J74"/>
  <c r="G74"/>
  <c r="Q73"/>
  <c r="Q72" s="1"/>
  <c r="K73"/>
  <c r="I73" s="1"/>
  <c r="F73" s="1"/>
  <c r="H73"/>
  <c r="P72"/>
  <c r="O72"/>
  <c r="N72"/>
  <c r="M72"/>
  <c r="L72"/>
  <c r="J72"/>
  <c r="G72"/>
  <c r="K71"/>
  <c r="I71" s="1"/>
  <c r="F71" s="1"/>
  <c r="H71"/>
  <c r="K70"/>
  <c r="K356" s="1"/>
  <c r="H70"/>
  <c r="K69"/>
  <c r="I69" s="1"/>
  <c r="F69" s="1"/>
  <c r="H69"/>
  <c r="Q68"/>
  <c r="P68"/>
  <c r="O68"/>
  <c r="N68"/>
  <c r="M68"/>
  <c r="L68"/>
  <c r="K68"/>
  <c r="J68"/>
  <c r="G68"/>
  <c r="Q67"/>
  <c r="Q356" s="1"/>
  <c r="Q350" s="1"/>
  <c r="I67"/>
  <c r="H67"/>
  <c r="Q66"/>
  <c r="F66" s="1"/>
  <c r="I66"/>
  <c r="H66"/>
  <c r="I65"/>
  <c r="H65"/>
  <c r="F65"/>
  <c r="P64"/>
  <c r="O64"/>
  <c r="N64"/>
  <c r="M64"/>
  <c r="L64"/>
  <c r="I64" s="1"/>
  <c r="K64"/>
  <c r="J64"/>
  <c r="G64"/>
  <c r="H64" s="1"/>
  <c r="I63"/>
  <c r="H63"/>
  <c r="F63"/>
  <c r="I62"/>
  <c r="F62" s="1"/>
  <c r="H62"/>
  <c r="L61"/>
  <c r="I61" s="1"/>
  <c r="F61" s="1"/>
  <c r="H61"/>
  <c r="Q60"/>
  <c r="P60"/>
  <c r="O60"/>
  <c r="N60"/>
  <c r="M60"/>
  <c r="K60"/>
  <c r="J60"/>
  <c r="G60"/>
  <c r="H60" s="1"/>
  <c r="N59"/>
  <c r="L59"/>
  <c r="I59" s="1"/>
  <c r="F59" s="1"/>
  <c r="H59"/>
  <c r="Q58"/>
  <c r="P58"/>
  <c r="O58"/>
  <c r="N58"/>
  <c r="M58"/>
  <c r="K58"/>
  <c r="J58"/>
  <c r="G58"/>
  <c r="Q57"/>
  <c r="K57"/>
  <c r="I57" s="1"/>
  <c r="H57"/>
  <c r="P56"/>
  <c r="O56"/>
  <c r="N56"/>
  <c r="Q56" s="1"/>
  <c r="M56"/>
  <c r="L56"/>
  <c r="J56"/>
  <c r="G56"/>
  <c r="K55"/>
  <c r="H55"/>
  <c r="L54"/>
  <c r="K54"/>
  <c r="H54"/>
  <c r="Q53"/>
  <c r="P53"/>
  <c r="O53"/>
  <c r="N53"/>
  <c r="M53"/>
  <c r="L53"/>
  <c r="J53"/>
  <c r="G53"/>
  <c r="I52"/>
  <c r="H52" s="1"/>
  <c r="L51"/>
  <c r="L50" s="1"/>
  <c r="J51"/>
  <c r="J353" s="1"/>
  <c r="I51"/>
  <c r="H51"/>
  <c r="Q50"/>
  <c r="P50"/>
  <c r="O50"/>
  <c r="N50"/>
  <c r="M50"/>
  <c r="K50"/>
  <c r="G50"/>
  <c r="I49"/>
  <c r="F49" s="1"/>
  <c r="P48"/>
  <c r="P47" s="1"/>
  <c r="L48"/>
  <c r="K48"/>
  <c r="I48" s="1"/>
  <c r="F48" s="1"/>
  <c r="H48"/>
  <c r="Q47"/>
  <c r="O47"/>
  <c r="N47"/>
  <c r="M47"/>
  <c r="L47"/>
  <c r="J47"/>
  <c r="G47"/>
  <c r="I46"/>
  <c r="F46" s="1"/>
  <c r="H46"/>
  <c r="K45"/>
  <c r="I45" s="1"/>
  <c r="F45" s="1"/>
  <c r="H45"/>
  <c r="Q44"/>
  <c r="P44"/>
  <c r="O44"/>
  <c r="N44"/>
  <c r="M44"/>
  <c r="L44"/>
  <c r="K44"/>
  <c r="J44"/>
  <c r="G44"/>
  <c r="Q43"/>
  <c r="I43"/>
  <c r="H43"/>
  <c r="L42"/>
  <c r="L41" s="1"/>
  <c r="K42"/>
  <c r="I42" s="1"/>
  <c r="F42" s="1"/>
  <c r="E41" s="1"/>
  <c r="H42"/>
  <c r="P41"/>
  <c r="O41"/>
  <c r="N41"/>
  <c r="M41"/>
  <c r="K41"/>
  <c r="J41"/>
  <c r="G41"/>
  <c r="I40"/>
  <c r="H40"/>
  <c r="F40"/>
  <c r="I39"/>
  <c r="H39"/>
  <c r="F39"/>
  <c r="Q38"/>
  <c r="P38"/>
  <c r="O38"/>
  <c r="N38"/>
  <c r="M38"/>
  <c r="L38"/>
  <c r="K38"/>
  <c r="J38"/>
  <c r="G38"/>
  <c r="Q37"/>
  <c r="F37" s="1"/>
  <c r="I37"/>
  <c r="H37"/>
  <c r="I36"/>
  <c r="H36"/>
  <c r="F36"/>
  <c r="P35"/>
  <c r="O35"/>
  <c r="N35"/>
  <c r="M35"/>
  <c r="L35"/>
  <c r="I35" s="1"/>
  <c r="K35"/>
  <c r="J35"/>
  <c r="G35"/>
  <c r="I34"/>
  <c r="H34"/>
  <c r="F34"/>
  <c r="M33"/>
  <c r="I33" s="1"/>
  <c r="F33" s="1"/>
  <c r="H33"/>
  <c r="Q32"/>
  <c r="P32"/>
  <c r="O32"/>
  <c r="N32"/>
  <c r="M32"/>
  <c r="L32"/>
  <c r="K32"/>
  <c r="J32"/>
  <c r="G32"/>
  <c r="I31"/>
  <c r="H31"/>
  <c r="F31"/>
  <c r="K30"/>
  <c r="I30" s="1"/>
  <c r="F30" s="1"/>
  <c r="H30"/>
  <c r="Q29"/>
  <c r="P29"/>
  <c r="O29"/>
  <c r="N29"/>
  <c r="M29"/>
  <c r="L29"/>
  <c r="K29"/>
  <c r="J29"/>
  <c r="G29"/>
  <c r="Q28"/>
  <c r="I28"/>
  <c r="H28"/>
  <c r="Q27"/>
  <c r="Q354" s="1"/>
  <c r="Q348" s="1"/>
  <c r="I27"/>
  <c r="H27"/>
  <c r="Q26"/>
  <c r="I26"/>
  <c r="H26"/>
  <c r="Q25"/>
  <c r="P25"/>
  <c r="O25"/>
  <c r="N25"/>
  <c r="M25"/>
  <c r="L25"/>
  <c r="K25"/>
  <c r="J25"/>
  <c r="G25"/>
  <c r="I24"/>
  <c r="H24"/>
  <c r="F24"/>
  <c r="K23"/>
  <c r="I23" s="1"/>
  <c r="F23" s="1"/>
  <c r="H23"/>
  <c r="Q22"/>
  <c r="P22"/>
  <c r="O22"/>
  <c r="N22"/>
  <c r="M22"/>
  <c r="L22"/>
  <c r="K22"/>
  <c r="J22"/>
  <c r="G22"/>
  <c r="I21"/>
  <c r="H21"/>
  <c r="F21"/>
  <c r="I20"/>
  <c r="F20" s="1"/>
  <c r="H20"/>
  <c r="Q19"/>
  <c r="P19"/>
  <c r="O19"/>
  <c r="N19"/>
  <c r="M19"/>
  <c r="L19"/>
  <c r="K19"/>
  <c r="J19"/>
  <c r="G19"/>
  <c r="I18"/>
  <c r="F18" s="1"/>
  <c r="I17"/>
  <c r="F17" s="1"/>
  <c r="H17"/>
  <c r="M16"/>
  <c r="K16"/>
  <c r="I16" s="1"/>
  <c r="F16" s="1"/>
  <c r="H16"/>
  <c r="Q15"/>
  <c r="P15"/>
  <c r="O15"/>
  <c r="N15"/>
  <c r="L15"/>
  <c r="J15"/>
  <c r="G15"/>
  <c r="Q14"/>
  <c r="I14"/>
  <c r="H14"/>
  <c r="I13"/>
  <c r="F13" s="1"/>
  <c r="H13"/>
  <c r="P12"/>
  <c r="O12"/>
  <c r="N12"/>
  <c r="M12"/>
  <c r="L12"/>
  <c r="K12"/>
  <c r="J12"/>
  <c r="G12"/>
  <c r="H11"/>
  <c r="Q10"/>
  <c r="P10"/>
  <c r="O10"/>
  <c r="N10"/>
  <c r="M10"/>
  <c r="K10"/>
  <c r="J10"/>
  <c r="G10"/>
  <c r="Q9"/>
  <c r="I9"/>
  <c r="H9"/>
  <c r="Q8"/>
  <c r="Q353" s="1"/>
  <c r="P8"/>
  <c r="P7" s="1"/>
  <c r="O8"/>
  <c r="O353" s="1"/>
  <c r="L8"/>
  <c r="H8"/>
  <c r="N7"/>
  <c r="M7"/>
  <c r="K7"/>
  <c r="J7"/>
  <c r="G7"/>
  <c r="E15" l="1"/>
  <c r="O7"/>
  <c r="I12"/>
  <c r="H15"/>
  <c r="K15"/>
  <c r="M353"/>
  <c r="I19"/>
  <c r="I29"/>
  <c r="I32"/>
  <c r="Q35"/>
  <c r="H47"/>
  <c r="K47"/>
  <c r="I54"/>
  <c r="F54" s="1"/>
  <c r="H56"/>
  <c r="F57"/>
  <c r="H58"/>
  <c r="E60"/>
  <c r="Q64"/>
  <c r="F67"/>
  <c r="H68"/>
  <c r="I85"/>
  <c r="I88"/>
  <c r="H91"/>
  <c r="H94"/>
  <c r="I108"/>
  <c r="H111"/>
  <c r="I132"/>
  <c r="H135"/>
  <c r="I138"/>
  <c r="I141"/>
  <c r="J358"/>
  <c r="I146"/>
  <c r="H147"/>
  <c r="H149"/>
  <c r="Q358"/>
  <c r="L365"/>
  <c r="L364" s="1"/>
  <c r="I159"/>
  <c r="H163"/>
  <c r="M166"/>
  <c r="I168"/>
  <c r="I169"/>
  <c r="F169" s="1"/>
  <c r="E168" s="1"/>
  <c r="L370"/>
  <c r="H172"/>
  <c r="H174"/>
  <c r="I177"/>
  <c r="H180"/>
  <c r="I183"/>
  <c r="H186"/>
  <c r="I189"/>
  <c r="H192"/>
  <c r="H198"/>
  <c r="I204"/>
  <c r="I377"/>
  <c r="I376" s="1"/>
  <c r="H206"/>
  <c r="L382"/>
  <c r="N382"/>
  <c r="H229"/>
  <c r="Q382"/>
  <c r="I232"/>
  <c r="I233"/>
  <c r="H234"/>
  <c r="H236"/>
  <c r="H395"/>
  <c r="H394" s="1"/>
  <c r="I244"/>
  <c r="I245"/>
  <c r="F245" s="1"/>
  <c r="H247"/>
  <c r="H249"/>
  <c r="F411"/>
  <c r="I411"/>
  <c r="K262"/>
  <c r="I266"/>
  <c r="F266" s="1"/>
  <c r="H267"/>
  <c r="I268"/>
  <c r="F268" s="1"/>
  <c r="H271"/>
  <c r="Q271"/>
  <c r="I272"/>
  <c r="F272" s="1"/>
  <c r="N350"/>
  <c r="H290"/>
  <c r="H301"/>
  <c r="F303"/>
  <c r="H308"/>
  <c r="H310"/>
  <c r="H321"/>
  <c r="H323"/>
  <c r="K418"/>
  <c r="L333"/>
  <c r="G358"/>
  <c r="M351"/>
  <c r="O351"/>
  <c r="G394"/>
  <c r="K394"/>
  <c r="O394"/>
  <c r="H353"/>
  <c r="H10"/>
  <c r="H12"/>
  <c r="H354"/>
  <c r="H19"/>
  <c r="F26"/>
  <c r="F28"/>
  <c r="I38"/>
  <c r="I47"/>
  <c r="F52"/>
  <c r="H53"/>
  <c r="K357"/>
  <c r="K351" s="1"/>
  <c r="L58"/>
  <c r="I58" s="1"/>
  <c r="N353"/>
  <c r="I68"/>
  <c r="H72"/>
  <c r="K72"/>
  <c r="I75"/>
  <c r="F75" s="1"/>
  <c r="E74" s="1"/>
  <c r="H77"/>
  <c r="I79"/>
  <c r="H82"/>
  <c r="H88"/>
  <c r="I91"/>
  <c r="I97"/>
  <c r="H100"/>
  <c r="I106"/>
  <c r="I123"/>
  <c r="H128"/>
  <c r="F360"/>
  <c r="I360"/>
  <c r="I133"/>
  <c r="F133" s="1"/>
  <c r="E132" s="1"/>
  <c r="I139"/>
  <c r="F139" s="1"/>
  <c r="H141"/>
  <c r="J145"/>
  <c r="H146"/>
  <c r="I147"/>
  <c r="H156"/>
  <c r="I157"/>
  <c r="F157" s="1"/>
  <c r="H159"/>
  <c r="I163"/>
  <c r="H168"/>
  <c r="I172"/>
  <c r="H204"/>
  <c r="H209"/>
  <c r="I217"/>
  <c r="H220"/>
  <c r="I224"/>
  <c r="Q229"/>
  <c r="H232"/>
  <c r="I234"/>
  <c r="H239"/>
  <c r="H244"/>
  <c r="I247"/>
  <c r="H251"/>
  <c r="I258"/>
  <c r="I267"/>
  <c r="L271"/>
  <c r="F273"/>
  <c r="H274"/>
  <c r="H276"/>
  <c r="I277"/>
  <c r="F277" s="1"/>
  <c r="N406"/>
  <c r="I278"/>
  <c r="F278" s="1"/>
  <c r="J282"/>
  <c r="I282"/>
  <c r="H284"/>
  <c r="I291"/>
  <c r="F291" s="1"/>
  <c r="H293"/>
  <c r="I296"/>
  <c r="I297"/>
  <c r="F297" s="1"/>
  <c r="E296" s="1"/>
  <c r="L413"/>
  <c r="L412" s="1"/>
  <c r="I301"/>
  <c r="I303"/>
  <c r="H306"/>
  <c r="K306"/>
  <c r="H312"/>
  <c r="H314"/>
  <c r="I318"/>
  <c r="H326"/>
  <c r="H419"/>
  <c r="H418" s="1"/>
  <c r="H328"/>
  <c r="I336"/>
  <c r="G352"/>
  <c r="J348"/>
  <c r="L348"/>
  <c r="N348"/>
  <c r="P348"/>
  <c r="J351"/>
  <c r="I41"/>
  <c r="I72"/>
  <c r="H145"/>
  <c r="F146"/>
  <c r="H282"/>
  <c r="F413"/>
  <c r="I413"/>
  <c r="I412" s="1"/>
  <c r="F47"/>
  <c r="E47" s="1"/>
  <c r="F58"/>
  <c r="E58" s="1"/>
  <c r="F72"/>
  <c r="E72" s="1"/>
  <c r="F79"/>
  <c r="E79" s="1"/>
  <c r="F91"/>
  <c r="E91" s="1"/>
  <c r="F97"/>
  <c r="E97" s="1"/>
  <c r="F147"/>
  <c r="E147" s="1"/>
  <c r="F159"/>
  <c r="E159" s="1"/>
  <c r="F163"/>
  <c r="E163" s="1"/>
  <c r="F168"/>
  <c r="F204"/>
  <c r="E204" s="1"/>
  <c r="F224"/>
  <c r="E224" s="1"/>
  <c r="F232"/>
  <c r="E232" s="1"/>
  <c r="F244"/>
  <c r="E244" s="1"/>
  <c r="F267"/>
  <c r="E267" s="1"/>
  <c r="I271"/>
  <c r="F271" s="1"/>
  <c r="E271" s="1"/>
  <c r="F274"/>
  <c r="E274" s="1"/>
  <c r="F282"/>
  <c r="E282" s="1"/>
  <c r="F293"/>
  <c r="E293" s="1"/>
  <c r="F296"/>
  <c r="I306"/>
  <c r="F314"/>
  <c r="H7"/>
  <c r="Q7"/>
  <c r="L353"/>
  <c r="F14"/>
  <c r="H22"/>
  <c r="I22"/>
  <c r="F22" s="1"/>
  <c r="E22" s="1"/>
  <c r="H25"/>
  <c r="I25"/>
  <c r="F25" s="1"/>
  <c r="E25" s="1"/>
  <c r="F27"/>
  <c r="H41"/>
  <c r="H44"/>
  <c r="I44"/>
  <c r="F44" s="1"/>
  <c r="E44" s="1"/>
  <c r="I50"/>
  <c r="K56"/>
  <c r="I56" s="1"/>
  <c r="F56" s="1"/>
  <c r="E56" s="1"/>
  <c r="L60"/>
  <c r="I60" s="1"/>
  <c r="F60" s="1"/>
  <c r="H74"/>
  <c r="N94"/>
  <c r="I94" s="1"/>
  <c r="F94" s="1"/>
  <c r="E94" s="1"/>
  <c r="I111"/>
  <c r="F111" s="1"/>
  <c r="E111"/>
  <c r="I124"/>
  <c r="F124" s="1"/>
  <c r="F363"/>
  <c r="I363"/>
  <c r="H360"/>
  <c r="I135"/>
  <c r="F135" s="1"/>
  <c r="E135" s="1"/>
  <c r="E141"/>
  <c r="L145"/>
  <c r="I145" s="1"/>
  <c r="F145" s="1"/>
  <c r="E145" s="1"/>
  <c r="F150"/>
  <c r="H152"/>
  <c r="H365"/>
  <c r="H364" s="1"/>
  <c r="I154"/>
  <c r="F154" s="1"/>
  <c r="E154" s="1"/>
  <c r="N156"/>
  <c r="I161"/>
  <c r="F161" s="1"/>
  <c r="E161" s="1"/>
  <c r="F164"/>
  <c r="H166"/>
  <c r="I180"/>
  <c r="F180" s="1"/>
  <c r="E180" s="1"/>
  <c r="I186"/>
  <c r="F186" s="1"/>
  <c r="E186" s="1"/>
  <c r="I195"/>
  <c r="F195" s="1"/>
  <c r="E195" s="1"/>
  <c r="I201"/>
  <c r="F201" s="1"/>
  <c r="E201" s="1"/>
  <c r="F205"/>
  <c r="F377" s="1"/>
  <c r="F376" s="1"/>
  <c r="I222"/>
  <c r="F222" s="1"/>
  <c r="E222" s="1"/>
  <c r="I226"/>
  <c r="F226" s="1"/>
  <c r="E226" s="1"/>
  <c r="I242"/>
  <c r="F242" s="1"/>
  <c r="E242" s="1"/>
  <c r="H400"/>
  <c r="H264"/>
  <c r="H410" s="1"/>
  <c r="K410"/>
  <c r="I265"/>
  <c r="F265" s="1"/>
  <c r="E265" s="1"/>
  <c r="N276"/>
  <c r="M406"/>
  <c r="M410"/>
  <c r="M350" s="1"/>
  <c r="H279"/>
  <c r="K279"/>
  <c r="I280"/>
  <c r="F280" s="1"/>
  <c r="L279"/>
  <c r="N279"/>
  <c r="I285"/>
  <c r="F285" s="1"/>
  <c r="H286"/>
  <c r="I290"/>
  <c r="F290" s="1"/>
  <c r="E290" s="1"/>
  <c r="H413"/>
  <c r="H412" s="1"/>
  <c r="H414"/>
  <c r="I298"/>
  <c r="F298" s="1"/>
  <c r="E298"/>
  <c r="L418"/>
  <c r="I331"/>
  <c r="F331" s="1"/>
  <c r="I333"/>
  <c r="F333" s="1"/>
  <c r="E333" s="1"/>
  <c r="I338"/>
  <c r="F338" s="1"/>
  <c r="E338" s="1"/>
  <c r="O352"/>
  <c r="Q347"/>
  <c r="H29"/>
  <c r="F29"/>
  <c r="E29" s="1"/>
  <c r="H32"/>
  <c r="F32"/>
  <c r="E32" s="1"/>
  <c r="H35"/>
  <c r="F35"/>
  <c r="E35" s="1"/>
  <c r="H38"/>
  <c r="F38"/>
  <c r="E38" s="1"/>
  <c r="L7"/>
  <c r="I7" s="1"/>
  <c r="F7" s="1"/>
  <c r="I8"/>
  <c r="H357"/>
  <c r="Q357"/>
  <c r="Q351" s="1"/>
  <c r="L10"/>
  <c r="I10" s="1"/>
  <c r="F10" s="1"/>
  <c r="E10" s="1"/>
  <c r="Q12"/>
  <c r="F12" s="1"/>
  <c r="E12" s="1"/>
  <c r="M15"/>
  <c r="I15" s="1"/>
  <c r="F15" s="1"/>
  <c r="K353"/>
  <c r="F354"/>
  <c r="I354"/>
  <c r="F19"/>
  <c r="E19" s="1"/>
  <c r="L352"/>
  <c r="P426"/>
  <c r="P353"/>
  <c r="M352"/>
  <c r="F43"/>
  <c r="Q41"/>
  <c r="F41" s="1"/>
  <c r="F9"/>
  <c r="J352"/>
  <c r="N352"/>
  <c r="N346" s="1"/>
  <c r="N347"/>
  <c r="G382"/>
  <c r="G346" s="1"/>
  <c r="G347"/>
  <c r="Q394"/>
  <c r="Q349"/>
  <c r="K400"/>
  <c r="I255"/>
  <c r="F255" s="1"/>
  <c r="K406"/>
  <c r="I259"/>
  <c r="J406"/>
  <c r="J262"/>
  <c r="I263"/>
  <c r="F263" s="1"/>
  <c r="L262"/>
  <c r="I262" s="1"/>
  <c r="F359"/>
  <c r="I359"/>
  <c r="K362"/>
  <c r="K350" s="1"/>
  <c r="F384"/>
  <c r="H258"/>
  <c r="F258"/>
  <c r="E258" s="1"/>
  <c r="H262"/>
  <c r="F262"/>
  <c r="E262" s="1"/>
  <c r="J50"/>
  <c r="H50" s="1"/>
  <c r="F51"/>
  <c r="E50" s="1"/>
  <c r="K53"/>
  <c r="I53" s="1"/>
  <c r="F53" s="1"/>
  <c r="I55"/>
  <c r="F55" s="1"/>
  <c r="F64"/>
  <c r="E64" s="1"/>
  <c r="H356"/>
  <c r="H350" s="1"/>
  <c r="F68"/>
  <c r="I70"/>
  <c r="F70" s="1"/>
  <c r="E68" s="1"/>
  <c r="L74"/>
  <c r="I74" s="1"/>
  <c r="F74" s="1"/>
  <c r="F77"/>
  <c r="E77" s="1"/>
  <c r="L82"/>
  <c r="I82" s="1"/>
  <c r="F82" s="1"/>
  <c r="E82" s="1"/>
  <c r="F85"/>
  <c r="E85" s="1"/>
  <c r="F88"/>
  <c r="E88" s="1"/>
  <c r="F100"/>
  <c r="E100" s="1"/>
  <c r="F102"/>
  <c r="E102" s="1"/>
  <c r="F106"/>
  <c r="E106" s="1"/>
  <c r="F108"/>
  <c r="E108" s="1"/>
  <c r="F115"/>
  <c r="E115" s="1"/>
  <c r="E120"/>
  <c r="K120"/>
  <c r="I120" s="1"/>
  <c r="F120" s="1"/>
  <c r="H359"/>
  <c r="K359"/>
  <c r="K358" s="1"/>
  <c r="M359"/>
  <c r="M358" s="1"/>
  <c r="O359"/>
  <c r="O358" s="1"/>
  <c r="F123"/>
  <c r="E123" s="1"/>
  <c r="H363"/>
  <c r="K128"/>
  <c r="I128" s="1"/>
  <c r="F128" s="1"/>
  <c r="E128" s="1"/>
  <c r="I131"/>
  <c r="L362"/>
  <c r="L350" s="1"/>
  <c r="F132"/>
  <c r="F138"/>
  <c r="E138" s="1"/>
  <c r="F141"/>
  <c r="K149"/>
  <c r="I149" s="1"/>
  <c r="F149" s="1"/>
  <c r="E149" s="1"/>
  <c r="L152"/>
  <c r="I152" s="1"/>
  <c r="F152" s="1"/>
  <c r="E152" s="1"/>
  <c r="I153"/>
  <c r="M156"/>
  <c r="I156" s="1"/>
  <c r="F156" s="1"/>
  <c r="E156" s="1"/>
  <c r="L166"/>
  <c r="N166"/>
  <c r="I167"/>
  <c r="H370"/>
  <c r="F172"/>
  <c r="E172" s="1"/>
  <c r="F174"/>
  <c r="E174" s="1"/>
  <c r="F177"/>
  <c r="E177" s="1"/>
  <c r="F183"/>
  <c r="E183" s="1"/>
  <c r="F189"/>
  <c r="E189" s="1"/>
  <c r="F192"/>
  <c r="E192" s="1"/>
  <c r="F198"/>
  <c r="E198" s="1"/>
  <c r="H377"/>
  <c r="H376" s="1"/>
  <c r="F206"/>
  <c r="E206" s="1"/>
  <c r="F209"/>
  <c r="E209" s="1"/>
  <c r="I382"/>
  <c r="F211"/>
  <c r="E211" s="1"/>
  <c r="F212"/>
  <c r="H212"/>
  <c r="M214"/>
  <c r="I214" s="1"/>
  <c r="F214" s="1"/>
  <c r="E214" s="1"/>
  <c r="F217"/>
  <c r="E217" s="1"/>
  <c r="O220"/>
  <c r="I220" s="1"/>
  <c r="F220" s="1"/>
  <c r="E220" s="1"/>
  <c r="F229"/>
  <c r="E229" s="1"/>
  <c r="F230"/>
  <c r="H389"/>
  <c r="H388" s="1"/>
  <c r="F234"/>
  <c r="E234" s="1"/>
  <c r="F236"/>
  <c r="E236" s="1"/>
  <c r="L239"/>
  <c r="I239" s="1"/>
  <c r="F239" s="1"/>
  <c r="E239" s="1"/>
  <c r="I240"/>
  <c r="F241"/>
  <c r="F397" s="1"/>
  <c r="F247"/>
  <c r="E247" s="1"/>
  <c r="F249"/>
  <c r="E249" s="1"/>
  <c r="F251"/>
  <c r="E251" s="1"/>
  <c r="F402"/>
  <c r="L406"/>
  <c r="H263"/>
  <c r="H406" s="1"/>
  <c r="Q412"/>
  <c r="I264"/>
  <c r="M276"/>
  <c r="I276" s="1"/>
  <c r="F276" s="1"/>
  <c r="E276" s="1"/>
  <c r="L284"/>
  <c r="I284" s="1"/>
  <c r="F284" s="1"/>
  <c r="E284" s="1"/>
  <c r="L286"/>
  <c r="I286" s="1"/>
  <c r="F286" s="1"/>
  <c r="E286" s="1"/>
  <c r="F295"/>
  <c r="F414" s="1"/>
  <c r="F412" s="1"/>
  <c r="F301"/>
  <c r="F306"/>
  <c r="F308"/>
  <c r="F310"/>
  <c r="F312"/>
  <c r="L312"/>
  <c r="I312" s="1"/>
  <c r="F316"/>
  <c r="F318"/>
  <c r="F321"/>
  <c r="F323"/>
  <c r="L326"/>
  <c r="I326" s="1"/>
  <c r="F326" s="1"/>
  <c r="E326" s="1"/>
  <c r="I327"/>
  <c r="M328"/>
  <c r="I328" s="1"/>
  <c r="F328" s="1"/>
  <c r="E328" s="1"/>
  <c r="Q328"/>
  <c r="I330"/>
  <c r="F336"/>
  <c r="F340"/>
  <c r="F422" s="1"/>
  <c r="I389" l="1"/>
  <c r="I388" s="1"/>
  <c r="F233"/>
  <c r="F389" s="1"/>
  <c r="F388" s="1"/>
  <c r="I166"/>
  <c r="F166" s="1"/>
  <c r="E166" s="1"/>
  <c r="F382"/>
  <c r="H382"/>
  <c r="E53"/>
  <c r="E7"/>
  <c r="I279"/>
  <c r="F279" s="1"/>
  <c r="E279" s="1"/>
  <c r="I419"/>
  <c r="F327"/>
  <c r="F419" s="1"/>
  <c r="I395"/>
  <c r="I394" s="1"/>
  <c r="F240"/>
  <c r="F395" s="1"/>
  <c r="F394" s="1"/>
  <c r="I370"/>
  <c r="F167"/>
  <c r="F370" s="1"/>
  <c r="P352"/>
  <c r="P346" s="1"/>
  <c r="P347"/>
  <c r="I353"/>
  <c r="F8"/>
  <c r="F353" s="1"/>
  <c r="F400"/>
  <c r="H358"/>
  <c r="F356"/>
  <c r="J346"/>
  <c r="H348"/>
  <c r="M347"/>
  <c r="L347"/>
  <c r="F348"/>
  <c r="O347"/>
  <c r="H347"/>
  <c r="I421"/>
  <c r="I349" s="1"/>
  <c r="F330"/>
  <c r="F421" s="1"/>
  <c r="I410"/>
  <c r="F264"/>
  <c r="F410" s="1"/>
  <c r="I365"/>
  <c r="I364" s="1"/>
  <c r="F153"/>
  <c r="F365" s="1"/>
  <c r="F364" s="1"/>
  <c r="I362"/>
  <c r="I358" s="1"/>
  <c r="F131"/>
  <c r="F362" s="1"/>
  <c r="I406"/>
  <c r="F259"/>
  <c r="F406" s="1"/>
  <c r="K352"/>
  <c r="K346" s="1"/>
  <c r="K347"/>
  <c r="I400"/>
  <c r="F349"/>
  <c r="F50"/>
  <c r="L358"/>
  <c r="F358"/>
  <c r="I356"/>
  <c r="I350" s="1"/>
  <c r="J347"/>
  <c r="F357"/>
  <c r="F351" s="1"/>
  <c r="M346"/>
  <c r="L346"/>
  <c r="I348"/>
  <c r="H351"/>
  <c r="I357"/>
  <c r="I351" s="1"/>
  <c r="Q352"/>
  <c r="Q346" s="1"/>
  <c r="O346"/>
  <c r="H352"/>
  <c r="H346" s="1"/>
  <c r="I352" l="1"/>
  <c r="I347"/>
  <c r="I418"/>
  <c r="F352"/>
  <c r="F347"/>
  <c r="F350"/>
  <c r="F418"/>
  <c r="I346" l="1"/>
  <c r="F346"/>
</calcChain>
</file>

<file path=xl/comments1.xml><?xml version="1.0" encoding="utf-8"?>
<comments xmlns="http://schemas.openxmlformats.org/spreadsheetml/2006/main">
  <authors>
    <author>umkahr01</author>
  </authors>
  <commentList>
    <comment ref="L52" authorId="0">
      <text>
        <r>
          <rPr>
            <b/>
            <sz val="8"/>
            <color indexed="81"/>
            <rFont val="Tahoma"/>
            <family val="2"/>
            <charset val="238"/>
          </rPr>
          <t>umkahr01:</t>
        </r>
        <r>
          <rPr>
            <sz val="8"/>
            <color indexed="81"/>
            <rFont val="Tahoma"/>
            <family val="2"/>
            <charset val="238"/>
          </rPr>
          <t xml:space="preserve">
Miłoszycka+Podwale
</t>
        </r>
      </text>
    </comment>
  </commentList>
</comments>
</file>

<file path=xl/sharedStrings.xml><?xml version="1.0" encoding="utf-8"?>
<sst xmlns="http://schemas.openxmlformats.org/spreadsheetml/2006/main" count="664" uniqueCount="313">
  <si>
    <t xml:space="preserve">Zadania Inwestycyjne na lata 2015 - 2019 w tym, które otrzymały dofinansowanie z funduszy europejskich </t>
  </si>
  <si>
    <t>L.p.</t>
  </si>
  <si>
    <t>Nazwa zadania</t>
  </si>
  <si>
    <t>Realizujący</t>
  </si>
  <si>
    <t>Lata realizacji</t>
  </si>
  <si>
    <t>Nakłady [ w tys. zł ]</t>
  </si>
  <si>
    <t>ogółem śr. Budżetwe</t>
  </si>
  <si>
    <t>ogółem</t>
  </si>
  <si>
    <t>do 2014</t>
  </si>
  <si>
    <t>do 2015</t>
  </si>
  <si>
    <t>w latach planu</t>
  </si>
  <si>
    <t>po 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</si>
  <si>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</si>
  <si>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</si>
  <si>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</si>
  <si>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</si>
  <si>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</si>
  <si>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</si>
  <si>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</si>
  <si>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</si>
  <si>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</si>
  <si>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</si>
  <si>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</si>
  <si>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</si>
  <si>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</si>
  <si>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       TRANSPORT I ŁĄCZNOŚĆ </t>
  </si>
  <si>
    <t>Prace przygotowawcze i zadania towarzyszące inwestycjom drogowym</t>
  </si>
  <si>
    <t>ZDiUM
Spółka WI
WZF
ZTS
ZIM</t>
  </si>
  <si>
    <t>2004
2020</t>
  </si>
  <si>
    <t>Środki własne</t>
  </si>
  <si>
    <t>Środki pozostałe - MPWiK</t>
  </si>
  <si>
    <t>Program ruchu pieszego</t>
  </si>
  <si>
    <t>ZDIUM
ZIM
DIG</t>
  </si>
  <si>
    <t>2017
2019</t>
  </si>
  <si>
    <t>Budowa nowych sygnalizacji świetlnych</t>
  </si>
  <si>
    <t>ZDiUM
WI</t>
  </si>
  <si>
    <t>2001
2021</t>
  </si>
  <si>
    <t>Środki pozostałe</t>
  </si>
  <si>
    <t xml:space="preserve">Program rowerowy </t>
  </si>
  <si>
    <t>ZDiUM 
Spółka WI
ZIM
ZZM</t>
  </si>
  <si>
    <t>2006
2020</t>
  </si>
  <si>
    <t>Środki UE</t>
  </si>
  <si>
    <t xml:space="preserve">Rozbudowa układu komunikacyjnego w obrębie osiedla Psie Pole </t>
  </si>
  <si>
    <t xml:space="preserve">Spółka WI </t>
  </si>
  <si>
    <t>2008
2015</t>
  </si>
  <si>
    <t>Przebudowa ul. Bardzkiej w ciągu drogi wojewódzkiej nr 395 we Wrocławiu</t>
  </si>
  <si>
    <t xml:space="preserve">Zintegrowany System Transportu Szynowego w Aglomeracji we Wrocławiu - etap I </t>
  </si>
  <si>
    <t xml:space="preserve">
Spółka WI</t>
  </si>
  <si>
    <t>2008
2016</t>
  </si>
  <si>
    <t>Środki pozostałe -  MPK</t>
  </si>
  <si>
    <t>Przebudowa ul. Kosmonautów w ciągu drogi krajowej nr 94 we Wrocławiu- etap I</t>
  </si>
  <si>
    <t>Spółka WI</t>
  </si>
  <si>
    <t>Środki pozostałe -GDDKiA, MPWiK</t>
  </si>
  <si>
    <t>Przebudowa ul.Buforowej w ciągu drogi wojewódzkiej nr 395 we Wrocławiu</t>
  </si>
  <si>
    <t>2008
2018</t>
  </si>
  <si>
    <t xml:space="preserve">Zagospodarowanie terenu wschodniego  pomiędzy obszarem stadionu i rzeką Ślęzą </t>
  </si>
  <si>
    <t>2009
2015</t>
  </si>
  <si>
    <t>Inteligentny System Transportu "ITS Wrocław"</t>
  </si>
  <si>
    <t>ZDIUM</t>
  </si>
  <si>
    <t>2010
2015</t>
  </si>
  <si>
    <t>Poprawa funkcjonalności komunikacyjnej w rejonie centrum</t>
  </si>
  <si>
    <t>Spółka WI
ZIM</t>
  </si>
  <si>
    <t>2012
2021</t>
  </si>
  <si>
    <t>Przebudowa ul.  Starogroblowej</t>
  </si>
  <si>
    <t>2012
2015</t>
  </si>
  <si>
    <t xml:space="preserve">Budowa osi zachodniej we Wrocławiu w ciągu drogi krajowej nr 94 </t>
  </si>
  <si>
    <t>2008
2019</t>
  </si>
  <si>
    <t>Program poprawy stanu technicznego infrastruktury drogowej</t>
  </si>
  <si>
    <t>ZDiUM
Spółka WI
ZIM
WIM</t>
  </si>
  <si>
    <t>2008
2020</t>
  </si>
  <si>
    <t>Przebudowa ul.  Okulickiego</t>
  </si>
  <si>
    <t>2014
2016</t>
  </si>
  <si>
    <t xml:space="preserve">Przebudowa ul. Lotniczej w ciągu drogi krajowej nr 94 we Wrocławiu - etap II </t>
  </si>
  <si>
    <t>Rozbudowa zajezdni autobusowej przy ul. Obornickiej</t>
  </si>
  <si>
    <t>2014
2015</t>
  </si>
  <si>
    <t>Zintegrowany System Transportu Szynowego w Aglomeracji we Wrocławiu - etap II</t>
  </si>
  <si>
    <t>DIG
 ZTS</t>
  </si>
  <si>
    <t>2013
2016</t>
  </si>
  <si>
    <t>Środki pozostałe -  MPK,MPWiK</t>
  </si>
  <si>
    <t>Program inicjatyw lokalnych</t>
  </si>
  <si>
    <t xml:space="preserve">ZIM </t>
  </si>
  <si>
    <t>2000
2019</t>
  </si>
  <si>
    <t>GFOŚ</t>
  </si>
  <si>
    <t xml:space="preserve">Budowa ul.Racławickiej </t>
  </si>
  <si>
    <t>2008
2017</t>
  </si>
  <si>
    <t>WFOŚ</t>
  </si>
  <si>
    <t>Środki pozostałe-MPWiK,Deweloper</t>
  </si>
  <si>
    <t xml:space="preserve">Wrocławski Budżet Obywatelski </t>
  </si>
  <si>
    <t>BZP
ZDiUM</t>
  </si>
  <si>
    <t>2014
2020</t>
  </si>
  <si>
    <t xml:space="preserve">Przebudowa ul.Wojanowskiej </t>
  </si>
  <si>
    <t>2015
2017</t>
  </si>
  <si>
    <t>MAN Wrocław. Wrocławska sieć teleinformatyczna na potrzeby sprawnego zarządzania  miastem</t>
  </si>
  <si>
    <t>CUI</t>
  </si>
  <si>
    <t>2015
2019</t>
  </si>
  <si>
    <t>Rozbudowa układu drogowego w rejonie ulic Parafialnej i Pawiej</t>
  </si>
  <si>
    <t>Spólka WI</t>
  </si>
  <si>
    <t>2010
2017</t>
  </si>
  <si>
    <t>Budowa wydzielonej trasy tramwajowo-autobusowej łączącej osiedle Nowy Dwór z Centrum Wrocławia</t>
  </si>
  <si>
    <t>Spółka WI
ZTS</t>
  </si>
  <si>
    <t>2016
2020</t>
  </si>
  <si>
    <t xml:space="preserve">Budowa Alei Wielkiej Wyspy we Wrocławiu </t>
  </si>
  <si>
    <t>2017
2020</t>
  </si>
  <si>
    <t>Rozbudowa węzłów przesiadkowych komunikacji zbiorowej we Wroclawiu</t>
  </si>
  <si>
    <t>2016
2018</t>
  </si>
  <si>
    <t>Budowa północnej Obwodnicy Śródmiejskiej -etap II</t>
  </si>
  <si>
    <t>Przebudowa ul. Wilkszyńskiej</t>
  </si>
  <si>
    <t>Przebudowa ulic w ciągu drogi wojewódzkiej nr 342 (Obornicka, Pęgowska, Zajaczkowska ,Pełczyńska)</t>
  </si>
  <si>
    <t>2018
2019</t>
  </si>
  <si>
    <t xml:space="preserve">Udział Miasta w budowie Wschodniej Obwodnicy Wrocławia </t>
  </si>
  <si>
    <t>DIG</t>
  </si>
  <si>
    <t>Rozbudowa ul.M.Skłodowskiej-Curie- etap II</t>
  </si>
  <si>
    <t>Przebudowa strefy wejścia i parkingu w rejonie cmentarza Grabiszyńskiego</t>
  </si>
  <si>
    <t>2007
2020</t>
  </si>
  <si>
    <t xml:space="preserve">Przebudowa ul.Mościckiego od ul. Topolowej do ul.Ziemniaczanej </t>
  </si>
  <si>
    <t>2014
2021</t>
  </si>
  <si>
    <t>Zintegrowany System Transportu Szynowego w Aglomeracji we Wrocławiu - etap III</t>
  </si>
  <si>
    <t>2016
2019</t>
  </si>
  <si>
    <t>Rozbudowa ul.Osobowickiej od Obwodnicy Śródmiejskiej Wrocławia do ul.Lipskiej</t>
  </si>
  <si>
    <t xml:space="preserve">
Spółka WI </t>
  </si>
  <si>
    <t xml:space="preserve">           GOSPODARKA MIESZKANIOWA </t>
  </si>
  <si>
    <t xml:space="preserve">Program przebudowy  gminnego zasobu mieszkaniowego </t>
  </si>
  <si>
    <t>ZZK
Spółka WM</t>
  </si>
  <si>
    <t>2004
2019</t>
  </si>
  <si>
    <t>WFOŚ, NFOŚ</t>
  </si>
  <si>
    <t>Program rozwoju terenów pod mieszkalnictwo</t>
  </si>
  <si>
    <t>ZIM
DIG
ZDiUM
WNiSN</t>
  </si>
  <si>
    <t>2005                       2019</t>
  </si>
  <si>
    <t>Środki pozostałe - Developerzy</t>
  </si>
  <si>
    <t>Środki pozostałe - TBS</t>
  </si>
  <si>
    <t>Rewitalizacja miasta Wrocławia</t>
  </si>
  <si>
    <t>BZP
ZZK
ZIM</t>
  </si>
  <si>
    <t>2009
2019</t>
  </si>
  <si>
    <t>GFOŚ, WFOŚ</t>
  </si>
  <si>
    <t>Budowa infrastruktury technicznej, dróg oraz miejskich obiektów użyteczności publicznej na osiedlu " Nowe Żerniki"</t>
  </si>
  <si>
    <t>Spółka WI
ZIM
BSiR</t>
  </si>
  <si>
    <t>2013
2019</t>
  </si>
  <si>
    <t>Środki pozostałe-MPWiK</t>
  </si>
  <si>
    <t>Wykonanie  robót budowlanych w obiekcie przy ul. Grunwaldzkiej 12 B służącym rehabilitacji osób niepełnosprawnych</t>
  </si>
  <si>
    <t>Spółka WM</t>
  </si>
  <si>
    <t>2013
2015</t>
  </si>
  <si>
    <t>Środki pozostałe -PFRON</t>
  </si>
  <si>
    <t xml:space="preserve">Program Rewitalizacji Przemieścia Oławskiego we Wrocławiu </t>
  </si>
  <si>
    <t>BZP 
ZZK</t>
  </si>
  <si>
    <t>2015
2020</t>
  </si>
  <si>
    <t xml:space="preserve">Modernizacja zabudowy mieszkaniowo-usługowej - pierzei wschodniej, północnej i zachodniej placu Nowy Targ </t>
  </si>
  <si>
    <t>2015
2018</t>
  </si>
  <si>
    <t>Środki pozostałe -współnoty mieszkaniowe</t>
  </si>
  <si>
    <t>Program zagospodarowania wnętrz międzyblokowych i placów zabaw</t>
  </si>
  <si>
    <t>2005
2020</t>
  </si>
  <si>
    <t>Przebudowa budynku przy ul.Sołtysowickiej 19a i 21</t>
  </si>
  <si>
    <t>ZZK</t>
  </si>
  <si>
    <t>Wrocławski Budżet Obywatelski</t>
  </si>
  <si>
    <t>ZZK
WM</t>
  </si>
  <si>
    <t xml:space="preserve">            DZIAŁALNOŚĆ USŁUGOWA</t>
  </si>
  <si>
    <t xml:space="preserve">Program modernizacji cmentarzy komunalnych </t>
  </si>
  <si>
    <t>ZCK</t>
  </si>
  <si>
    <t>2007
2019</t>
  </si>
  <si>
    <t>Prace przygotowawcze i zadania towarzyszące inwestycjom infrastrukturalnym</t>
  </si>
  <si>
    <t>ZIM
BFS
ZDiUM</t>
  </si>
  <si>
    <t>Program rozwoju terenów pod aktywność gospodarczą</t>
  </si>
  <si>
    <t>Spółka WI
ZDiUM</t>
  </si>
  <si>
    <t>Środki pozostałe - MPWiK, Energia Pro</t>
  </si>
  <si>
    <t xml:space="preserve">Budowa pasażu handlowego wraz z zagospodarowaniem terenu przyległego przy ul.B. Krzywoustego - etap II </t>
  </si>
  <si>
    <t>BRG</t>
  </si>
  <si>
    <t>2020
2021</t>
  </si>
  <si>
    <t xml:space="preserve">Budowa nowego cmentarza przy ul.Awicenny - I etap </t>
  </si>
  <si>
    <t>ZIM</t>
  </si>
  <si>
    <t>2014
2022</t>
  </si>
  <si>
    <t xml:space="preserve">           ADMINISTRACJA PUBLICZNA </t>
  </si>
  <si>
    <t xml:space="preserve">E- administracja </t>
  </si>
  <si>
    <t xml:space="preserve">Rozbudowa Systemu Informacji Przestrzennej </t>
  </si>
  <si>
    <t xml:space="preserve">Środki pozostałe </t>
  </si>
  <si>
    <t>Rozbudowa budynku Urzędu Miejskiego Wrocławia przy ul. G. Zapolskiej 2/4, Bogusławskiego, Świdnickiej</t>
  </si>
  <si>
    <t>WOU</t>
  </si>
  <si>
    <t>WI
CUI</t>
  </si>
  <si>
    <t>2016
2017</t>
  </si>
  <si>
    <t>Open Data Wrocław</t>
  </si>
  <si>
    <t>Rozbudowa baz danych zasobów geodezyjnych</t>
  </si>
  <si>
    <t>Wrocławska Mobilna Karta Miejska</t>
  </si>
  <si>
    <t xml:space="preserve">Wirtualizacja oferty kulturalnego Wrocławia </t>
  </si>
  <si>
    <t>BPM</t>
  </si>
  <si>
    <t xml:space="preserve">Przebudowa Sali nr 215 w budynku Urzędu Miejskiego przy pl.Nowy Targ 1-8 we Wrocławia </t>
  </si>
  <si>
    <t xml:space="preserve">            BEZPIECZEŃSTWO PUBLICZNE I OCHRONA  PRZECIWPOŻAROWA </t>
  </si>
  <si>
    <t>Modernizacja i rozbudowa cyfrowej łączności radiowej TETRA</t>
  </si>
  <si>
    <t>WBZ</t>
  </si>
  <si>
    <t>Monitoring prewencyjny Wrocławia</t>
  </si>
  <si>
    <t>WBZ
CUI</t>
  </si>
  <si>
    <t xml:space="preserve">            OŚWIATA I WYCHOWANIE </t>
  </si>
  <si>
    <t xml:space="preserve">Budowa i kompleksowa przebudowa budynków szkół podstawowych </t>
  </si>
  <si>
    <t>ZIM
WPP</t>
  </si>
  <si>
    <t>2006
2024</t>
  </si>
  <si>
    <t xml:space="preserve">Budowa i kompleksowa przebudowa budynków przedszkoli </t>
  </si>
  <si>
    <t xml:space="preserve">Budowa i kompleksowa przebudowa budynków gimnazjów </t>
  </si>
  <si>
    <t>2006
2021</t>
  </si>
  <si>
    <t xml:space="preserve">Budowa i kompleksowa przebudowa szkół ponadgimnazjalnych </t>
  </si>
  <si>
    <t xml:space="preserve">Budowa i przebudowa infrastruktury sportowej w obiektach oświatowych </t>
  </si>
  <si>
    <t>ZIM
DEU</t>
  </si>
  <si>
    <t>Wyposażenie szkół w pracownie fizyczne, chemiczne i biologiczne - EIT+</t>
  </si>
  <si>
    <t>WGP</t>
  </si>
  <si>
    <t xml:space="preserve">Przebudowa pomieszczeń warsztatowych na potrzeby kształcenia praktycznego w Zespole Szkół nr 2 przy ul. Borowskiej we Wrocławiu </t>
  </si>
  <si>
    <t xml:space="preserve">            OCHRONA ZDROWIA </t>
  </si>
  <si>
    <t xml:space="preserve">Przebudowa pomieszczeń na potrzeby  centrum Neuropsychiatrii Neuromed </t>
  </si>
  <si>
    <t>Przebudowa obiektu przy ul.Lindego 19-21 we Wrocławiu na cele prowadzenia Przychodni Zdrowia Psychicznego I Terapii Uzależnienień</t>
  </si>
  <si>
    <t>2015
2016</t>
  </si>
  <si>
    <t xml:space="preserve">Przebudowa i rozbudowa przychodni przy ul.Stalowej 50 na cele prowadzenia Ośrodka Rehabilitacji Dzieci z Porażeniem Mózgowym, rehabilitacji dorosłych oraz Poradni dla Dzieci z Autyzmem </t>
  </si>
  <si>
    <t xml:space="preserve">            POMOC SPOŁECZNA</t>
  </si>
  <si>
    <t xml:space="preserve">Program Przebudowy Centrów Usług Socjalnych we Wrocławiu </t>
  </si>
  <si>
    <t>MCUS
ZIM</t>
  </si>
  <si>
    <t>Budżet Państwa</t>
  </si>
  <si>
    <t>Program Przebudowy obiektów na potrzeby MOPS</t>
  </si>
  <si>
    <t>DSS
ZIM
MOPS</t>
  </si>
  <si>
    <t>2013
2020</t>
  </si>
  <si>
    <t>Komputeryzacja Ośrodków Pomocy Społecznej</t>
  </si>
  <si>
    <t>MOPS</t>
  </si>
  <si>
    <t xml:space="preserve">            POZOSTAŁE ZADANIA W ZAKRESIE POLITYKI SPOŁECZNEJ </t>
  </si>
  <si>
    <t>Program budowy i przebudowy żłobków</t>
  </si>
  <si>
    <t>Przebudowa pomieszczeń w budynku przy ul. Glinianej 20-22 z przeznaczeniem dla Powiatowego Urzędu Pracy.</t>
  </si>
  <si>
    <t xml:space="preserve">Utworzenie infrastruktury na potrzeby społeczne </t>
  </si>
  <si>
    <t>DSS</t>
  </si>
  <si>
    <t xml:space="preserve">           GOSPODARKA KOMUNALNA I OCHRONA ŚRODOWISKA </t>
  </si>
  <si>
    <t>Program poprawy jakości wody we Wrocławiu /FS/</t>
  </si>
  <si>
    <t>WZF</t>
  </si>
  <si>
    <t>2002
2017</t>
  </si>
  <si>
    <t>Środki pozostałe - MPWiK, EBOR</t>
  </si>
  <si>
    <t>Program modernizacji systemu odwodnienia Miasta</t>
  </si>
  <si>
    <t>ZZM 
DIG</t>
  </si>
  <si>
    <t>Rozbudowa infrastruktury sieciowej i drogowej w północnych osiedlach Wrocławia - udział Miasta</t>
  </si>
  <si>
    <t>ZIM
CUI
ZDiUM
DIG</t>
  </si>
  <si>
    <t>2011
2019</t>
  </si>
  <si>
    <t>Realizacja Programu Rozwoju Usług Gospodarki Odpadami /FS/</t>
  </si>
  <si>
    <t>2001
2016</t>
  </si>
  <si>
    <t>Środki pozostałe - EBOR</t>
  </si>
  <si>
    <t xml:space="preserve">Program rewitalizacji zieleni, nabrzeży i wysp odrzańskich </t>
  </si>
  <si>
    <t>ZIM 
 ZDiUM 
 ZZM</t>
  </si>
  <si>
    <t>2004
2021</t>
  </si>
  <si>
    <t>ZZM</t>
  </si>
  <si>
    <t xml:space="preserve">Rewaloryzacja Parku Szczytnickiego </t>
  </si>
  <si>
    <t>2008
2022</t>
  </si>
  <si>
    <t xml:space="preserve">Program likwidacji niskiej emisji na terenie Wrocława </t>
  </si>
  <si>
    <t>WSR</t>
  </si>
  <si>
    <t>2014
2018</t>
  </si>
  <si>
    <t>Program likwidacji niskiej emisji na terenie Wrocława- część II</t>
  </si>
  <si>
    <t>Budowa i przebudowa oświetlenia ulic i miejsc niebezpiecznych</t>
  </si>
  <si>
    <t>ZDiUM
ZIM
ZZM</t>
  </si>
  <si>
    <t xml:space="preserve">Zagospodarowanie Parku Milenijnego </t>
  </si>
  <si>
    <t xml:space="preserve">Rewitalizacja Bulwaru Xawerego Dunikowskiego we Wrocławiu </t>
  </si>
  <si>
    <t>2009
2016</t>
  </si>
  <si>
    <t>Środki pozostałe - Energia Pro</t>
  </si>
  <si>
    <t>ZDiUM 
ZZM
ZZK</t>
  </si>
  <si>
    <t xml:space="preserve">           KULTURA I OCHRONA DZIEDZICTWA NARODOWEGO </t>
  </si>
  <si>
    <t>Budowa Narodowego Forum Muzyki we Wrocławiu</t>
  </si>
  <si>
    <t>WKL
Spółka WI
NFM</t>
  </si>
  <si>
    <t>Przebudowa i modernizacja Wrocławskiego Klubu Formaty</t>
  </si>
  <si>
    <t>ZIM
FORMATY</t>
  </si>
  <si>
    <t>Centrum Historii ZAJEZDNIA We Wrocławiu</t>
  </si>
  <si>
    <t>ZIM
OPiP
WZF
WKL
DIG</t>
  </si>
  <si>
    <t>Przebudowa dawnego Baru Barbara na nowa siedzibę Biura Festiwalowego Impart 2016</t>
  </si>
  <si>
    <t>ZIM
IMPART</t>
  </si>
  <si>
    <t>Przebudowa z adaptacją skrzydła Pałacu Królewskiego na  potrzeby Muzeum Teatru  we Wrocławiu</t>
  </si>
  <si>
    <t>Modernizacja wystaw stałych w muzeach Wrocławia</t>
  </si>
  <si>
    <t>WKL
MMW</t>
  </si>
  <si>
    <t>Rewaloryzacja Zespołu Zabytkowych pomieszczeń Synagogi pod Białym Bocianem w ramach programu ścieżek kulturowych czterech świątyń</t>
  </si>
  <si>
    <t>MKZ
WKL</t>
  </si>
  <si>
    <t>2014
2017</t>
  </si>
  <si>
    <t xml:space="preserve">Centrum Kultury i Centrum Biblioteczne na Psim Polu </t>
  </si>
  <si>
    <t>ZIM
WKL</t>
  </si>
  <si>
    <t>Rewitalizacja wnętrza kościoła p.w.św. Elżbiety we Wrocławiu poprzez rekonstrukcję organów Michaela Englera</t>
  </si>
  <si>
    <t xml:space="preserve">
DIG</t>
  </si>
  <si>
    <t xml:space="preserve">Rozwój działalności artystycznej i edukacyjnej Muzeum Współczesnego Wrocławia </t>
  </si>
  <si>
    <t>MWW</t>
  </si>
  <si>
    <t>Modernizacja siedziby wrocławskiego Teatru Współczesnego</t>
  </si>
  <si>
    <t>Adaptacja pomieszczeń na pierwszym piętrze Dworca Głównego PKP dla funkcji wystawienniczych i biblioteki</t>
  </si>
  <si>
    <t>Budowa Muzeum Współczesnego Wrocław</t>
  </si>
  <si>
    <t xml:space="preserve">           KULTURA FIZYCZNA I SPORT </t>
  </si>
  <si>
    <t>Budowa boisk piłkarskich o sztucznych nawierzchniach</t>
  </si>
  <si>
    <t xml:space="preserve"> ZIM</t>
  </si>
  <si>
    <t>Przygotowanie infrastruktury sportowej w związku z World Games wraz z renowacją Stadionu Olimpijskiego</t>
  </si>
  <si>
    <t xml:space="preserve">ZIM
Spółka WI </t>
  </si>
  <si>
    <t xml:space="preserve">Przebudowa budynku stacji uzdatniania wody wraz z wymianą stacji na terenie krytego basenu przy ul. Racławickiej </t>
  </si>
  <si>
    <t>MCS
ZIM</t>
  </si>
  <si>
    <t>Program przebudowy miejskich obiektów sportowych</t>
  </si>
  <si>
    <t xml:space="preserve">Rozbudowa infrastruktury rekreacyjnej na terenie WTWK Partynice </t>
  </si>
  <si>
    <t>WTWK
CUI</t>
  </si>
  <si>
    <t>NFOŚ</t>
  </si>
  <si>
    <t xml:space="preserve">PODSUMOWANIE </t>
  </si>
  <si>
    <t>ŁĄCZNIE W SEKTORACH</t>
  </si>
  <si>
    <t xml:space="preserve">TRANSPORT I ŁĄCZNOŚĆ </t>
  </si>
  <si>
    <t>GOSPODARKA MIESZKANIOWA</t>
  </si>
  <si>
    <t>DZIAŁALNOŚĆ USŁUGOWA</t>
  </si>
  <si>
    <t>ADMINISTRACJA PUBLICZNA</t>
  </si>
  <si>
    <t xml:space="preserve">BEZPIECZEŃSTWO PUBLICZNE I OCHRONA PRZECIWPOŻAROWA </t>
  </si>
  <si>
    <t xml:space="preserve">OŚWIATA I WYCHOWANIE </t>
  </si>
  <si>
    <t xml:space="preserve">OCHRONA ZDROWIA </t>
  </si>
  <si>
    <t xml:space="preserve">POMOC SPOŁECZNA  </t>
  </si>
  <si>
    <t xml:space="preserve">POZOSTAŁE ZADANIA W ZAKRESIE POLITYKI SPOŁECZNEJ </t>
  </si>
  <si>
    <t xml:space="preserve">GOSPODARKA KOMUNALNA I OCHRONA ŚRODOWISKA  </t>
  </si>
  <si>
    <t xml:space="preserve">KULTURA I OCHRONA DZIEDZICTWA NARODOWEGO  </t>
  </si>
  <si>
    <t xml:space="preserve">KULTURA FIZYCZNA I SPORT </t>
  </si>
  <si>
    <t>GFOŚ, WFOŚ, NFOŚ</t>
  </si>
  <si>
    <t>Asystent dla mieszkańców Wrocławia "Asystent Mieszkańca"</t>
  </si>
  <si>
    <t>E-usługi wspomagające prowadzenie procesu konsultacji społecznych ( w tym Wrocłaskiego Budżetu Obywatelskiego)</t>
  </si>
  <si>
    <t>BPS</t>
  </si>
  <si>
    <t>ZGKiKM</t>
  </si>
  <si>
    <t xml:space="preserve">System wspierający obsługę NGO we Wrocławiu </t>
  </si>
  <si>
    <t xml:space="preserve">Wdrożenie systemu  ERP w jednostkach Gminy Wrocław </t>
  </si>
  <si>
    <t xml:space="preserve">Wrocławska Platforma Informacyjno - Płatnicza </t>
  </si>
  <si>
    <t>Wyposażenie pracowni komputerowych w szkołach podstawowych w urzadzenia do prowadzenia zajęć z wykorzystaniem TIK</t>
  </si>
  <si>
    <t>WPP</t>
  </si>
  <si>
    <t>MCS
ZIM
BSR</t>
  </si>
  <si>
    <t>System wspierający  windykacyję w Gminie Wrocław</t>
  </si>
  <si>
    <t>2007
2015</t>
  </si>
  <si>
    <t>2006                    2018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</si>
</sst>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charset val="238"/>
    </font>
    <font>
      <sz val="8"/>
      <color theme="1"/>
      <name val="Arial CE"/>
      <family val="2"/>
      <charset val="238"/>
    </font>
    <font>
      <sz val="7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indexed="10"/>
      <name val="Arial CE"/>
      <family val="2"/>
      <charset val="238"/>
    </font>
    <font>
      <b/>
      <i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5" fillId="0" borderId="0" xfId="0" applyFont="1"/>
    <xf numFmtId="3" fontId="6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0" xfId="0" applyFont="1" applyFill="1"/>
    <xf numFmtId="3" fontId="3" fillId="5" borderId="7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3" fontId="3" fillId="6" borderId="7" xfId="0" applyNumberFormat="1" applyFont="1" applyFill="1" applyBorder="1" applyAlignment="1">
      <alignment horizontal="center" vertical="center" wrapText="1"/>
    </xf>
    <xf numFmtId="3" fontId="3" fillId="6" borderId="7" xfId="0" applyNumberFormat="1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vertical="center"/>
    </xf>
    <xf numFmtId="3" fontId="9" fillId="5" borderId="7" xfId="0" applyNumberFormat="1" applyFont="1" applyFill="1" applyBorder="1" applyAlignment="1">
      <alignment vertical="center"/>
    </xf>
    <xf numFmtId="0" fontId="6" fillId="0" borderId="0" xfId="0" applyFont="1"/>
    <xf numFmtId="164" fontId="10" fillId="7" borderId="7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left" vertical="center" wrapText="1"/>
    </xf>
    <xf numFmtId="164" fontId="11" fillId="6" borderId="7" xfId="0" applyNumberFormat="1" applyFont="1" applyFill="1" applyBorder="1" applyAlignment="1">
      <alignment horizontal="center" vertical="center" wrapText="1"/>
    </xf>
    <xf numFmtId="164" fontId="12" fillId="6" borderId="7" xfId="0" applyNumberFormat="1" applyFont="1" applyFill="1" applyBorder="1" applyAlignment="1">
      <alignment horizontal="center" vertical="center" wrapText="1"/>
    </xf>
    <xf numFmtId="3" fontId="12" fillId="6" borderId="7" xfId="0" applyNumberFormat="1" applyFont="1" applyFill="1" applyBorder="1" applyAlignment="1">
      <alignment horizontal="center" vertical="center" wrapText="1"/>
    </xf>
    <xf numFmtId="3" fontId="12" fillId="6" borderId="7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horizontal="center" vertical="center"/>
    </xf>
    <xf numFmtId="164" fontId="13" fillId="6" borderId="7" xfId="0" applyNumberFormat="1" applyFont="1" applyFill="1" applyBorder="1" applyAlignment="1">
      <alignment horizontal="left" vertical="center" wrapText="1"/>
    </xf>
    <xf numFmtId="3" fontId="10" fillId="9" borderId="7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vertical="center" wrapText="1"/>
    </xf>
    <xf numFmtId="164" fontId="12" fillId="5" borderId="7" xfId="0" applyNumberFormat="1" applyFont="1" applyFill="1" applyBorder="1" applyAlignment="1">
      <alignment vertical="center"/>
    </xf>
    <xf numFmtId="164" fontId="12" fillId="5" borderId="7" xfId="0" applyNumberFormat="1" applyFont="1" applyFill="1" applyBorder="1" applyAlignment="1">
      <alignment vertical="center" wrapText="1"/>
    </xf>
    <xf numFmtId="164" fontId="10" fillId="7" borderId="7" xfId="0" applyNumberFormat="1" applyFont="1" applyFill="1" applyBorder="1" applyAlignment="1">
      <alignment vertical="center" wrapText="1"/>
    </xf>
    <xf numFmtId="164" fontId="10" fillId="0" borderId="7" xfId="0" applyNumberFormat="1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vertical="center" wrapText="1"/>
    </xf>
    <xf numFmtId="164" fontId="10" fillId="6" borderId="7" xfId="0" applyNumberFormat="1" applyFont="1" applyFill="1" applyBorder="1" applyAlignment="1">
      <alignment horizontal="center" vertical="center" wrapText="1"/>
    </xf>
    <xf numFmtId="3" fontId="12" fillId="5" borderId="7" xfId="0" applyNumberFormat="1" applyFont="1" applyFill="1" applyBorder="1" applyAlignment="1">
      <alignment horizontal="right" vertical="center"/>
    </xf>
    <xf numFmtId="164" fontId="12" fillId="5" borderId="7" xfId="0" applyNumberFormat="1" applyFont="1" applyFill="1" applyBorder="1" applyAlignment="1">
      <alignment horizontal="left" vertical="center" wrapText="1"/>
    </xf>
    <xf numFmtId="3" fontId="10" fillId="5" borderId="7" xfId="0" applyNumberFormat="1" applyFont="1" applyFill="1" applyBorder="1" applyAlignment="1">
      <alignment vertical="center"/>
    </xf>
    <xf numFmtId="1" fontId="12" fillId="6" borderId="7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/>
    </xf>
    <xf numFmtId="0" fontId="10" fillId="0" borderId="7" xfId="0" applyFont="1" applyBorder="1"/>
    <xf numFmtId="0" fontId="10" fillId="0" borderId="7" xfId="0" applyFont="1" applyFill="1" applyBorder="1"/>
    <xf numFmtId="3" fontId="10" fillId="0" borderId="7" xfId="0" applyNumberFormat="1" applyFont="1" applyFill="1" applyBorder="1"/>
    <xf numFmtId="3" fontId="10" fillId="7" borderId="7" xfId="0" applyNumberFormat="1" applyFont="1" applyFill="1" applyBorder="1"/>
    <xf numFmtId="3" fontId="10" fillId="0" borderId="7" xfId="0" applyNumberFormat="1" applyFont="1" applyBorder="1"/>
    <xf numFmtId="0" fontId="10" fillId="0" borderId="7" xfId="0" applyNumberFormat="1" applyFont="1" applyFill="1" applyBorder="1"/>
    <xf numFmtId="0" fontId="12" fillId="6" borderId="7" xfId="0" applyNumberFormat="1" applyFont="1" applyFill="1" applyBorder="1" applyAlignment="1">
      <alignment horizontal="center" vertical="center" wrapText="1"/>
    </xf>
    <xf numFmtId="164" fontId="12" fillId="7" borderId="7" xfId="0" applyNumberFormat="1" applyFont="1" applyFill="1" applyBorder="1" applyAlignment="1">
      <alignment horizontal="center" vertical="center"/>
    </xf>
    <xf numFmtId="3" fontId="10" fillId="7" borderId="7" xfId="0" applyNumberFormat="1" applyFont="1" applyFill="1" applyBorder="1" applyAlignment="1">
      <alignment vertical="center"/>
    </xf>
    <xf numFmtId="0" fontId="12" fillId="5" borderId="7" xfId="0" applyNumberFormat="1" applyFont="1" applyFill="1" applyBorder="1" applyAlignment="1">
      <alignment horizontal="center" vertical="center"/>
    </xf>
    <xf numFmtId="3" fontId="15" fillId="5" borderId="7" xfId="0" applyNumberFormat="1" applyFont="1" applyFill="1" applyBorder="1" applyAlignment="1">
      <alignment vertical="center"/>
    </xf>
    <xf numFmtId="3" fontId="12" fillId="10" borderId="7" xfId="0" applyNumberFormat="1" applyFont="1" applyFill="1" applyBorder="1" applyAlignment="1">
      <alignment vertical="center"/>
    </xf>
    <xf numFmtId="0" fontId="6" fillId="0" borderId="7" xfId="0" applyFont="1" applyBorder="1"/>
    <xf numFmtId="0" fontId="6" fillId="12" borderId="0" xfId="0" applyFont="1" applyFill="1"/>
    <xf numFmtId="164" fontId="11" fillId="5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vertical="center"/>
    </xf>
    <xf numFmtId="164" fontId="10" fillId="0" borderId="9" xfId="0" applyNumberFormat="1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13" borderId="7" xfId="0" applyFont="1" applyFill="1" applyBorder="1"/>
    <xf numFmtId="0" fontId="12" fillId="13" borderId="7" xfId="0" applyFont="1" applyFill="1" applyBorder="1"/>
    <xf numFmtId="3" fontId="10" fillId="13" borderId="7" xfId="0" applyNumberFormat="1" applyFont="1" applyFill="1" applyBorder="1"/>
    <xf numFmtId="0" fontId="19" fillId="0" borderId="0" xfId="0" applyFont="1"/>
    <xf numFmtId="0" fontId="19" fillId="0" borderId="7" xfId="0" applyFont="1" applyBorder="1"/>
    <xf numFmtId="164" fontId="19" fillId="0" borderId="7" xfId="0" applyNumberFormat="1" applyFont="1" applyFill="1" applyBorder="1" applyAlignment="1">
      <alignment vertical="center" wrapText="1"/>
    </xf>
    <xf numFmtId="3" fontId="19" fillId="0" borderId="7" xfId="0" applyNumberFormat="1" applyFont="1" applyBorder="1"/>
    <xf numFmtId="0" fontId="19" fillId="13" borderId="7" xfId="0" applyFont="1" applyFill="1" applyBorder="1"/>
    <xf numFmtId="0" fontId="9" fillId="13" borderId="7" xfId="0" applyFont="1" applyFill="1" applyBorder="1"/>
    <xf numFmtId="3" fontId="19" fillId="13" borderId="7" xfId="0" applyNumberFormat="1" applyFont="1" applyFill="1" applyBorder="1"/>
    <xf numFmtId="3" fontId="0" fillId="0" borderId="0" xfId="0" applyNumberFormat="1"/>
    <xf numFmtId="164" fontId="10" fillId="5" borderId="7" xfId="0" applyNumberFormat="1" applyFont="1" applyFill="1" applyBorder="1" applyAlignment="1">
      <alignment vertical="center" wrapText="1"/>
    </xf>
    <xf numFmtId="164" fontId="14" fillId="11" borderId="3" xfId="0" applyNumberFormat="1" applyFont="1" applyFill="1" applyBorder="1" applyAlignment="1">
      <alignment horizontal="left" vertical="center"/>
    </xf>
    <xf numFmtId="164" fontId="14" fillId="11" borderId="4" xfId="0" applyNumberFormat="1" applyFont="1" applyFill="1" applyBorder="1" applyAlignment="1">
      <alignment horizontal="left" vertical="center"/>
    </xf>
    <xf numFmtId="164" fontId="14" fillId="11" borderId="5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14" fillId="4" borderId="3" xfId="0" applyNumberFormat="1" applyFont="1" applyFill="1" applyBorder="1" applyAlignment="1">
      <alignment horizontal="left" vertical="center"/>
    </xf>
    <xf numFmtId="164" fontId="14" fillId="4" borderId="4" xfId="0" applyNumberFormat="1" applyFont="1" applyFill="1" applyBorder="1" applyAlignment="1">
      <alignment horizontal="left" vertical="center"/>
    </xf>
    <xf numFmtId="164" fontId="14" fillId="4" borderId="5" xfId="0" applyNumberFormat="1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left" vertical="center" wrapText="1"/>
    </xf>
    <xf numFmtId="164" fontId="14" fillId="4" borderId="4" xfId="0" applyNumberFormat="1" applyFont="1" applyFill="1" applyBorder="1" applyAlignment="1">
      <alignment horizontal="left" vertical="center" wrapText="1"/>
    </xf>
    <xf numFmtId="164" fontId="14" fillId="4" borderId="5" xfId="0" applyNumberFormat="1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k7059\worek%20tomka\Korekta%20planu\Plan%202008%2021-11-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k7059\worek%20tomka\Korekta%20planu\Plan%202008%2022-02-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y"/>
      <sheetName val="Rejony plan08"/>
      <sheetName val="Zestawienie wg zaawansowania"/>
      <sheetName val="Plan 2008"/>
      <sheetName val="Niewygasające"/>
      <sheetName val="Zestawienie wg robót"/>
      <sheetName val="Ilość adresów  2008"/>
      <sheetName val="Harmonogram"/>
    </sheetNames>
    <sheetDataSet>
      <sheetData sheetId="0">
        <row r="2">
          <cell r="I2" t="str">
            <v>Brak realizacji</v>
          </cell>
          <cell r="L2" t="str">
            <v>V.1.2</v>
          </cell>
          <cell r="M2" t="str">
            <v>O</v>
          </cell>
        </row>
        <row r="3">
          <cell r="I3" t="str">
            <v>Brak uchwały WM</v>
          </cell>
          <cell r="L3" t="str">
            <v>V.1.6</v>
          </cell>
          <cell r="M3" t="str">
            <v>P</v>
          </cell>
        </row>
        <row r="4">
          <cell r="I4" t="str">
            <v>Na 2009 rok</v>
          </cell>
          <cell r="L4" t="str">
            <v>V.2.3</v>
          </cell>
          <cell r="M4" t="str">
            <v>PR</v>
          </cell>
        </row>
        <row r="5">
          <cell r="I5" t="str">
            <v>Przetarg</v>
          </cell>
          <cell r="L5" t="str">
            <v>V.R.1.4</v>
          </cell>
          <cell r="M5" t="str">
            <v>R</v>
          </cell>
        </row>
        <row r="6">
          <cell r="I6" t="str">
            <v>Rezygnacja WM</v>
          </cell>
          <cell r="L6" t="str">
            <v>V.R.15</v>
          </cell>
        </row>
        <row r="7">
          <cell r="I7" t="str">
            <v>W trakcie realizacji</v>
          </cell>
          <cell r="L7" t="str">
            <v>V.R.4.13</v>
          </cell>
        </row>
        <row r="8">
          <cell r="I8" t="str">
            <v>Wycofane</v>
          </cell>
          <cell r="L8" t="str">
            <v>V.R.4.14</v>
          </cell>
        </row>
        <row r="9">
          <cell r="I9" t="str">
            <v>Zadanie wykonane i rozliczone</v>
          </cell>
          <cell r="L9" t="str">
            <v>V.R.4.15</v>
          </cell>
        </row>
        <row r="10">
          <cell r="I10" t="str">
            <v>Zadanie wykonane i w trakcie rozliczenia</v>
          </cell>
          <cell r="L10" t="str">
            <v>V.R.4.3</v>
          </cell>
        </row>
        <row r="11">
          <cell r="I11" t="str">
            <v>Zaliczka na poczet robót WM</v>
          </cell>
          <cell r="L11" t="str">
            <v>V.R.4.9</v>
          </cell>
        </row>
        <row r="12">
          <cell r="I12" t="str">
            <v>Zwrot nadpłaty</v>
          </cell>
          <cell r="L12" t="str">
            <v>V.R.4.12</v>
          </cell>
        </row>
        <row r="13">
          <cell r="I13" t="str">
            <v>Rezerwowe zadanie</v>
          </cell>
          <cell r="L13" t="str">
            <v>V.R.6.1</v>
          </cell>
        </row>
        <row r="14">
          <cell r="L14" t="str">
            <v>V.R.6.2</v>
          </cell>
        </row>
        <row r="15">
          <cell r="L15" t="str">
            <v>V.R.7</v>
          </cell>
        </row>
        <row r="16">
          <cell r="L16" t="str">
            <v>V.R.8</v>
          </cell>
        </row>
        <row r="17">
          <cell r="L17" t="str">
            <v>VII.4</v>
          </cell>
        </row>
        <row r="18">
          <cell r="L18" t="str">
            <v>V.R.4.11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sty"/>
      <sheetName val="Rejony plan08"/>
      <sheetName val="Zestawienie wg zaawansowania"/>
      <sheetName val="Plan 2008"/>
      <sheetName val="Niewygasające"/>
      <sheetName val="Zestawienie wg robót"/>
      <sheetName val="Ilość adresów  2008"/>
      <sheetName val="Harmonogram"/>
      <sheetName val="Fundusz remontowy"/>
      <sheetName val="Przetarg"/>
    </sheetNames>
    <sheetDataSet>
      <sheetData sheetId="0">
        <row r="2">
          <cell r="H2" t="str">
            <v>1 Dywizji</v>
          </cell>
        </row>
        <row r="3">
          <cell r="H3" t="str">
            <v>1 Dywizji\Partyzantów</v>
          </cell>
        </row>
        <row r="4">
          <cell r="H4" t="str">
            <v>3-go Maja</v>
          </cell>
        </row>
        <row r="5">
          <cell r="H5" t="str">
            <v>9-go Maja</v>
          </cell>
        </row>
        <row r="6">
          <cell r="H6" t="str">
            <v>Abramowskiego</v>
          </cell>
        </row>
        <row r="7">
          <cell r="H7" t="str">
            <v>Adamczewskich</v>
          </cell>
        </row>
        <row r="8">
          <cell r="H8" t="str">
            <v>Afgańska</v>
          </cell>
        </row>
        <row r="9">
          <cell r="H9" t="str">
            <v>Aliancka</v>
          </cell>
        </row>
        <row r="10">
          <cell r="H10" t="str">
            <v>Altanowa</v>
          </cell>
        </row>
        <row r="11">
          <cell r="H11" t="str">
            <v>Angielska</v>
          </cell>
        </row>
        <row r="12">
          <cell r="H12" t="str">
            <v>Antoniego Św.</v>
          </cell>
        </row>
        <row r="13">
          <cell r="H13" t="str">
            <v>Asnyka</v>
          </cell>
        </row>
        <row r="14">
          <cell r="H14" t="str">
            <v>Bałtycka</v>
          </cell>
        </row>
        <row r="15">
          <cell r="H15" t="str">
            <v>Bałuckiego</v>
          </cell>
        </row>
        <row r="16">
          <cell r="H16" t="str">
            <v>Barlickiego</v>
          </cell>
        </row>
        <row r="17">
          <cell r="H17" t="str">
            <v>Bartla</v>
          </cell>
        </row>
        <row r="18">
          <cell r="H18" t="str">
            <v>Barycka</v>
          </cell>
        </row>
        <row r="19">
          <cell r="H19" t="str">
            <v>Baudouina de Courtenay</v>
          </cell>
        </row>
        <row r="20">
          <cell r="H20" t="str">
            <v>Becka</v>
          </cell>
        </row>
        <row r="21">
          <cell r="H21" t="str">
            <v>Bednarska</v>
          </cell>
        </row>
        <row r="22">
          <cell r="H22" t="str">
            <v>Belwederczyków</v>
          </cell>
        </row>
        <row r="23">
          <cell r="H23" t="str">
            <v>Belwederczyków-Jezierskiego</v>
          </cell>
        </row>
        <row r="24">
          <cell r="H24" t="str">
            <v>Bema</v>
          </cell>
        </row>
        <row r="25">
          <cell r="H25" t="str">
            <v>Bema Pl.</v>
          </cell>
        </row>
        <row r="26">
          <cell r="H26" t="str">
            <v>Benedyktyńska</v>
          </cell>
        </row>
        <row r="27">
          <cell r="H27" t="str">
            <v>Berenta</v>
          </cell>
        </row>
        <row r="28">
          <cell r="H28" t="str">
            <v>Berlinga</v>
          </cell>
        </row>
        <row r="29">
          <cell r="H29" t="str">
            <v>Bernardyńska</v>
          </cell>
        </row>
        <row r="30">
          <cell r="H30" t="str">
            <v>Białoskórnicza</v>
          </cell>
        </row>
        <row r="31">
          <cell r="H31" t="str">
            <v>Białostocka</v>
          </cell>
        </row>
        <row r="32">
          <cell r="H32" t="str">
            <v>Białowieska</v>
          </cell>
        </row>
        <row r="33">
          <cell r="H33" t="str">
            <v>Bierutowska</v>
          </cell>
        </row>
        <row r="34">
          <cell r="H34" t="str">
            <v>Birmańska</v>
          </cell>
        </row>
        <row r="35">
          <cell r="H35" t="str">
            <v>Birmańska\Chińska</v>
          </cell>
        </row>
        <row r="36">
          <cell r="H36" t="str">
            <v>Birmańska\Pakistańska</v>
          </cell>
        </row>
        <row r="37">
          <cell r="H37" t="str">
            <v>Biskupia</v>
          </cell>
        </row>
        <row r="38">
          <cell r="H38" t="str">
            <v>Blacharska</v>
          </cell>
        </row>
        <row r="39">
          <cell r="H39" t="str">
            <v>Bociania</v>
          </cell>
        </row>
        <row r="40">
          <cell r="H40" t="str">
            <v>Boczna</v>
          </cell>
        </row>
        <row r="41">
          <cell r="H41" t="str">
            <v>Bogusławskiego</v>
          </cell>
        </row>
        <row r="42">
          <cell r="H42" t="str">
            <v>Boiskowa</v>
          </cell>
        </row>
        <row r="43">
          <cell r="H43" t="str">
            <v>Bolesławiecka</v>
          </cell>
        </row>
        <row r="44">
          <cell r="H44" t="str">
            <v>Bora Komorowskiego</v>
          </cell>
        </row>
        <row r="45">
          <cell r="H45" t="str">
            <v>Borelowskiego</v>
          </cell>
        </row>
        <row r="46">
          <cell r="H46" t="str">
            <v>Borowska</v>
          </cell>
        </row>
        <row r="47">
          <cell r="H47" t="str">
            <v>Boya Żeleńskiego Al.</v>
          </cell>
        </row>
        <row r="48">
          <cell r="H48" t="str">
            <v>Bożego Ciała</v>
          </cell>
        </row>
        <row r="49">
          <cell r="H49" t="str">
            <v>Brandta</v>
          </cell>
        </row>
        <row r="50">
          <cell r="H50" t="str">
            <v>Braniborska</v>
          </cell>
        </row>
        <row r="51">
          <cell r="H51" t="str">
            <v>Brązowa</v>
          </cell>
        </row>
        <row r="52">
          <cell r="H52" t="str">
            <v>Brodatego</v>
          </cell>
        </row>
        <row r="53">
          <cell r="H53" t="str">
            <v>Brodatego\Pomorska</v>
          </cell>
        </row>
        <row r="54">
          <cell r="H54" t="str">
            <v>Brodzka</v>
          </cell>
        </row>
        <row r="55">
          <cell r="H55" t="str">
            <v>Brzeska</v>
          </cell>
        </row>
        <row r="56">
          <cell r="H56" t="str">
            <v>Brzezińska</v>
          </cell>
        </row>
        <row r="57">
          <cell r="H57" t="str">
            <v>Budziszyńska</v>
          </cell>
        </row>
        <row r="58">
          <cell r="H58" t="str">
            <v>Bujwida</v>
          </cell>
        </row>
        <row r="59">
          <cell r="H59" t="str">
            <v>Bukowskiego</v>
          </cell>
        </row>
        <row r="60">
          <cell r="H60" t="str">
            <v>Buraczana</v>
          </cell>
        </row>
        <row r="61">
          <cell r="H61" t="str">
            <v>Buska</v>
          </cell>
        </row>
        <row r="62">
          <cell r="H62" t="str">
            <v>Bydgoska</v>
          </cell>
        </row>
        <row r="63">
          <cell r="H63" t="str">
            <v>Bytomska</v>
          </cell>
        </row>
        <row r="64">
          <cell r="H64" t="str">
            <v>Ceglana</v>
          </cell>
        </row>
        <row r="65">
          <cell r="H65" t="str">
            <v>Centralna</v>
          </cell>
        </row>
        <row r="66">
          <cell r="H66" t="str">
            <v>Chełmońskiego</v>
          </cell>
        </row>
        <row r="67">
          <cell r="H67" t="str">
            <v>Chemiczna</v>
          </cell>
        </row>
        <row r="68">
          <cell r="H68" t="str">
            <v>Chińska</v>
          </cell>
        </row>
        <row r="69">
          <cell r="H69" t="str">
            <v>Chińska\Birmańska</v>
          </cell>
        </row>
        <row r="70">
          <cell r="H70" t="str">
            <v>Chłopska</v>
          </cell>
        </row>
        <row r="71">
          <cell r="H71" t="str">
            <v>Chopina</v>
          </cell>
        </row>
        <row r="72">
          <cell r="H72" t="str">
            <v>Chrobrego</v>
          </cell>
        </row>
        <row r="73">
          <cell r="H73" t="str">
            <v>Chrzanowskiego</v>
          </cell>
        </row>
        <row r="74">
          <cell r="H74" t="str">
            <v>Chudoby</v>
          </cell>
        </row>
        <row r="75">
          <cell r="H75" t="str">
            <v>Chwałkowska</v>
          </cell>
        </row>
        <row r="76">
          <cell r="H76" t="str">
            <v>Ciepła</v>
          </cell>
        </row>
        <row r="77">
          <cell r="H77" t="str">
            <v>Ciesielski Pl.</v>
          </cell>
        </row>
        <row r="78">
          <cell r="H78" t="str">
            <v>Cieszyńskiego</v>
          </cell>
        </row>
        <row r="79">
          <cell r="H79" t="str">
            <v>Cinciały</v>
          </cell>
        </row>
        <row r="80">
          <cell r="H80" t="str">
            <v>Cukrowa</v>
          </cell>
        </row>
        <row r="81">
          <cell r="H81" t="str">
            <v>Cybulskiego</v>
          </cell>
        </row>
        <row r="82">
          <cell r="H82" t="str">
            <v>Cynowa</v>
          </cell>
        </row>
        <row r="83">
          <cell r="H83" t="str">
            <v>Czajkowskiego</v>
          </cell>
        </row>
        <row r="84">
          <cell r="H84" t="str">
            <v>Czarnieckiego</v>
          </cell>
        </row>
        <row r="85">
          <cell r="H85" t="str">
            <v>Czarnoleska</v>
          </cell>
        </row>
        <row r="86">
          <cell r="H86" t="str">
            <v>Czekoladowa</v>
          </cell>
        </row>
        <row r="87">
          <cell r="H87" t="str">
            <v>Częstochowska</v>
          </cell>
        </row>
        <row r="88">
          <cell r="H88" t="str">
            <v>Czysta</v>
          </cell>
        </row>
        <row r="89">
          <cell r="H89" t="str">
            <v>Ćwiczebna</v>
          </cell>
        </row>
        <row r="90">
          <cell r="H90" t="str">
            <v>Damrota</v>
          </cell>
        </row>
        <row r="91">
          <cell r="H91" t="str">
            <v>Daniłowskiego</v>
          </cell>
        </row>
        <row r="92">
          <cell r="H92" t="str">
            <v>Daszyńskiego</v>
          </cell>
        </row>
        <row r="93">
          <cell r="H93" t="str">
            <v>Dawida\Gajowa</v>
          </cell>
        </row>
        <row r="94">
          <cell r="H94" t="str">
            <v>Dąbrowskiego</v>
          </cell>
        </row>
        <row r="95">
          <cell r="H95" t="str">
            <v>Dembowskiego</v>
          </cell>
        </row>
        <row r="96">
          <cell r="H96" t="str">
            <v>Desantowa</v>
          </cell>
        </row>
        <row r="97">
          <cell r="H97" t="str">
            <v>Dębickiego</v>
          </cell>
        </row>
        <row r="98">
          <cell r="H98" t="str">
            <v>Dicksteina</v>
          </cell>
        </row>
        <row r="99">
          <cell r="H99" t="str">
            <v>Długa</v>
          </cell>
        </row>
        <row r="100">
          <cell r="H100" t="str">
            <v>Długopolska\Strońska</v>
          </cell>
        </row>
        <row r="101">
          <cell r="H101" t="str">
            <v>Długosza</v>
          </cell>
        </row>
        <row r="102">
          <cell r="H102" t="str">
            <v>Dobra</v>
          </cell>
        </row>
        <row r="103">
          <cell r="H103" t="str">
            <v>Dobrzańska</v>
          </cell>
        </row>
        <row r="104">
          <cell r="H104" t="str">
            <v>Dolna</v>
          </cell>
        </row>
        <row r="105">
          <cell r="H105" t="str">
            <v>Dolnobrzeska</v>
          </cell>
        </row>
        <row r="106">
          <cell r="H106" t="str">
            <v>Domasławska</v>
          </cell>
        </row>
        <row r="107">
          <cell r="H107" t="str">
            <v>Dożynkowa</v>
          </cell>
        </row>
        <row r="108">
          <cell r="H108" t="str">
            <v>Drobnera</v>
          </cell>
        </row>
        <row r="109">
          <cell r="H109" t="str">
            <v>Druckiego-Lubeckiego</v>
          </cell>
        </row>
        <row r="110">
          <cell r="H110" t="str">
            <v>Drukarska</v>
          </cell>
        </row>
        <row r="111">
          <cell r="H111" t="str">
            <v>Drzewna</v>
          </cell>
        </row>
        <row r="112">
          <cell r="H112" t="str">
            <v>Dubois</v>
          </cell>
        </row>
        <row r="113">
          <cell r="H113" t="str">
            <v>Dworcowa</v>
          </cell>
        </row>
        <row r="114">
          <cell r="H114" t="str">
            <v>Działdowska</v>
          </cell>
        </row>
        <row r="115">
          <cell r="H115" t="str">
            <v>Eluarda</v>
          </cell>
        </row>
        <row r="116">
          <cell r="H116" t="str">
            <v>Elżbiety Św.</v>
          </cell>
        </row>
        <row r="117">
          <cell r="H117" t="str">
            <v>Ełcka</v>
          </cell>
        </row>
        <row r="118">
          <cell r="H118" t="str">
            <v>Energetyczna</v>
          </cell>
        </row>
        <row r="119">
          <cell r="H119" t="str">
            <v>Energetyczna\Pretficza</v>
          </cell>
        </row>
        <row r="120">
          <cell r="H120" t="str">
            <v>Fabryczna</v>
          </cell>
        </row>
        <row r="121">
          <cell r="H121" t="str">
            <v>Fiołkowa</v>
          </cell>
        </row>
        <row r="122">
          <cell r="H122" t="str">
            <v>Gajowa</v>
          </cell>
        </row>
        <row r="123">
          <cell r="H123" t="str">
            <v>Gajowicka</v>
          </cell>
        </row>
        <row r="124">
          <cell r="H124" t="str">
            <v>Galla Anonima</v>
          </cell>
        </row>
        <row r="125">
          <cell r="H125" t="str">
            <v>Gałczyńskiego</v>
          </cell>
        </row>
        <row r="126">
          <cell r="H126" t="str">
            <v>Garwolińska</v>
          </cell>
        </row>
        <row r="127">
          <cell r="H127" t="str">
            <v>Gazowa</v>
          </cell>
        </row>
        <row r="128">
          <cell r="H128" t="str">
            <v>Gdańska</v>
          </cell>
        </row>
        <row r="129">
          <cell r="H129" t="str">
            <v>Gepperta</v>
          </cell>
        </row>
        <row r="130">
          <cell r="H130" t="str">
            <v>Gimnazjalna</v>
          </cell>
        </row>
        <row r="131">
          <cell r="H131" t="str">
            <v>Gliniana</v>
          </cell>
        </row>
        <row r="132">
          <cell r="H132" t="str">
            <v>Gliwicka-Górnośląska</v>
          </cell>
        </row>
        <row r="133">
          <cell r="H133" t="str">
            <v>Głogowska</v>
          </cell>
        </row>
        <row r="134">
          <cell r="H134" t="str">
            <v>Głowackiego</v>
          </cell>
        </row>
        <row r="135">
          <cell r="H135" t="str">
            <v>Główna</v>
          </cell>
        </row>
        <row r="136">
          <cell r="H136" t="str">
            <v>Gnieźnieńska</v>
          </cell>
        </row>
        <row r="137">
          <cell r="H137" t="str">
            <v>Godebskiego</v>
          </cell>
        </row>
        <row r="138">
          <cell r="H138" t="str">
            <v>Gołężycka</v>
          </cell>
        </row>
        <row r="139">
          <cell r="H139" t="str">
            <v>Gorlicka</v>
          </cell>
        </row>
        <row r="140">
          <cell r="H140" t="str">
            <v>Gosławicka (d.Cmentarna)</v>
          </cell>
        </row>
        <row r="141">
          <cell r="H141" t="str">
            <v>Goszczyńskiego</v>
          </cell>
        </row>
        <row r="142">
          <cell r="H142" t="str">
            <v>Góralska</v>
          </cell>
        </row>
        <row r="143">
          <cell r="H143" t="str">
            <v>Górecka</v>
          </cell>
        </row>
        <row r="144">
          <cell r="H144" t="str">
            <v>Górnickiego</v>
          </cell>
        </row>
        <row r="145">
          <cell r="H145" t="str">
            <v>Górnicza</v>
          </cell>
        </row>
        <row r="146">
          <cell r="H146" t="str">
            <v>Górnośląska</v>
          </cell>
        </row>
        <row r="147">
          <cell r="H147" t="str">
            <v>Grabiszyńska</v>
          </cell>
        </row>
        <row r="148">
          <cell r="H148" t="str">
            <v>Grecka</v>
          </cell>
        </row>
        <row r="149">
          <cell r="H149" t="str">
            <v>Grochowa</v>
          </cell>
        </row>
        <row r="150">
          <cell r="H150" t="str">
            <v>Grodzka</v>
          </cell>
        </row>
        <row r="151">
          <cell r="H151" t="str">
            <v>Gromadzka</v>
          </cell>
        </row>
        <row r="152">
          <cell r="H152" t="str">
            <v>Grota Roweckiego</v>
          </cell>
        </row>
        <row r="153">
          <cell r="H153" t="str">
            <v>Grudziądzka</v>
          </cell>
        </row>
        <row r="154">
          <cell r="H154" t="str">
            <v>Grunwaldzka</v>
          </cell>
        </row>
        <row r="155">
          <cell r="H155" t="str">
            <v>Grunwaldzka\Sienkiewicza</v>
          </cell>
        </row>
        <row r="156">
          <cell r="H156" t="str">
            <v>Gwarecka</v>
          </cell>
        </row>
        <row r="157">
          <cell r="H157" t="str">
            <v>Gwarna</v>
          </cell>
        </row>
        <row r="158">
          <cell r="H158" t="str">
            <v>Hallera</v>
          </cell>
        </row>
        <row r="159">
          <cell r="H159" t="str">
            <v>Hauke-Bosaka</v>
          </cell>
        </row>
        <row r="160">
          <cell r="H160" t="str">
            <v>Hauke-Bosaka , Krasińskiego</v>
          </cell>
        </row>
        <row r="161">
          <cell r="H161" t="str">
            <v>Henrykowska</v>
          </cell>
        </row>
        <row r="162">
          <cell r="H162" t="str">
            <v>Hercena</v>
          </cell>
        </row>
        <row r="163">
          <cell r="H163" t="str">
            <v>Hermanowska</v>
          </cell>
        </row>
        <row r="164">
          <cell r="H164" t="str">
            <v>Hirszfelda Pl.</v>
          </cell>
        </row>
        <row r="165">
          <cell r="H165" t="str">
            <v>Hlonda</v>
          </cell>
        </row>
        <row r="166">
          <cell r="H166" t="str">
            <v>Hłaski</v>
          </cell>
        </row>
        <row r="167">
          <cell r="H167" t="str">
            <v>Holenderska</v>
          </cell>
        </row>
        <row r="168">
          <cell r="H168" t="str">
            <v>Hubska</v>
          </cell>
        </row>
        <row r="169">
          <cell r="H169" t="str">
            <v>Hutnicza</v>
          </cell>
        </row>
        <row r="170">
          <cell r="H170" t="str">
            <v>Igielna</v>
          </cell>
        </row>
        <row r="171">
          <cell r="H171" t="str">
            <v>Ignuta</v>
          </cell>
        </row>
        <row r="172">
          <cell r="H172" t="str">
            <v>Inowrocławska</v>
          </cell>
        </row>
        <row r="173">
          <cell r="H173" t="str">
            <v>Irysowa</v>
          </cell>
        </row>
        <row r="174">
          <cell r="H174" t="str">
            <v>Jadwigi Św.</v>
          </cell>
        </row>
        <row r="175">
          <cell r="H175" t="str">
            <v>Jagiellończyka</v>
          </cell>
        </row>
        <row r="176">
          <cell r="H176" t="str">
            <v>Jagiełły</v>
          </cell>
        </row>
        <row r="177">
          <cell r="H177" t="str">
            <v>Jagodzińska</v>
          </cell>
        </row>
        <row r="178">
          <cell r="H178" t="str">
            <v>Jajczarska</v>
          </cell>
        </row>
        <row r="179">
          <cell r="H179" t="str">
            <v>Jana Pawła II Pl.</v>
          </cell>
        </row>
        <row r="180">
          <cell r="H180" t="str">
            <v>Janiszewskiego</v>
          </cell>
        </row>
        <row r="181">
          <cell r="H181" t="str">
            <v>Jantarowa</v>
          </cell>
        </row>
        <row r="182">
          <cell r="H182" t="str">
            <v>Januszowicka</v>
          </cell>
        </row>
        <row r="183">
          <cell r="H183" t="str">
            <v>Jaracza</v>
          </cell>
        </row>
        <row r="184">
          <cell r="H184" t="str">
            <v>Jarocińska</v>
          </cell>
        </row>
        <row r="185">
          <cell r="H185" t="str">
            <v>Jarzębinowa Al.</v>
          </cell>
        </row>
        <row r="186">
          <cell r="H186" t="str">
            <v>Jastrzębia</v>
          </cell>
        </row>
        <row r="187">
          <cell r="H187" t="str">
            <v>Jaworowa Al.</v>
          </cell>
        </row>
        <row r="188">
          <cell r="H188" t="str">
            <v>Jedności Narodowej</v>
          </cell>
        </row>
        <row r="189">
          <cell r="H189" t="str">
            <v>Jedności Narodowej\Kilińskiego</v>
          </cell>
        </row>
        <row r="190">
          <cell r="H190" t="str">
            <v>Jedności Narodowej\Probusa</v>
          </cell>
        </row>
        <row r="191">
          <cell r="H191" t="str">
            <v>Jeleniogórska</v>
          </cell>
        </row>
        <row r="192">
          <cell r="H192" t="str">
            <v>Jemiołowa</v>
          </cell>
        </row>
        <row r="193">
          <cell r="H193" t="str">
            <v>Jerzego Św.</v>
          </cell>
        </row>
        <row r="194">
          <cell r="H194" t="str">
            <v>Jerzmanowska</v>
          </cell>
        </row>
        <row r="195">
          <cell r="H195" t="str">
            <v>Jesienna</v>
          </cell>
        </row>
        <row r="196">
          <cell r="H196" t="str">
            <v>Jesionowa</v>
          </cell>
        </row>
        <row r="197">
          <cell r="H197" t="str">
            <v>Jezierskiego</v>
          </cell>
        </row>
        <row r="198">
          <cell r="H198" t="str">
            <v>Jeździecka</v>
          </cell>
        </row>
        <row r="199">
          <cell r="H199" t="str">
            <v>Jeżowska</v>
          </cell>
        </row>
        <row r="200">
          <cell r="H200" t="str">
            <v>Jęczmienna</v>
          </cell>
        </row>
        <row r="201">
          <cell r="H201" t="str">
            <v>Jodłowa</v>
          </cell>
        </row>
        <row r="202">
          <cell r="H202" t="str">
            <v>Jordanowska</v>
          </cell>
        </row>
        <row r="203">
          <cell r="H203" t="str">
            <v>Jugosławiańska</v>
          </cell>
        </row>
        <row r="204">
          <cell r="H204" t="str">
            <v>Junacka</v>
          </cell>
        </row>
        <row r="205">
          <cell r="H205" t="str">
            <v>Juszczaka</v>
          </cell>
        </row>
        <row r="206">
          <cell r="H206" t="str">
            <v>Kaliski Pl</v>
          </cell>
        </row>
        <row r="207">
          <cell r="H207" t="str">
            <v>Kamieniecka</v>
          </cell>
        </row>
        <row r="208">
          <cell r="H208" t="str">
            <v>Kamienna</v>
          </cell>
        </row>
        <row r="209">
          <cell r="H209" t="str">
            <v>Kamienna\ Wapienna</v>
          </cell>
        </row>
        <row r="210">
          <cell r="H210" t="str">
            <v>Kamieńskiego</v>
          </cell>
        </row>
        <row r="211">
          <cell r="H211" t="str">
            <v>Kanadyjska</v>
          </cell>
        </row>
        <row r="212">
          <cell r="H212" t="str">
            <v>Kapliczna</v>
          </cell>
        </row>
        <row r="213">
          <cell r="H213" t="str">
            <v>Karczemna</v>
          </cell>
        </row>
        <row r="214">
          <cell r="H214" t="str">
            <v>Karmelkowa</v>
          </cell>
        </row>
        <row r="215">
          <cell r="H215" t="str">
            <v>Karpacka</v>
          </cell>
        </row>
        <row r="216">
          <cell r="H216" t="str">
            <v>Kasprowicza Al.</v>
          </cell>
        </row>
        <row r="217">
          <cell r="H217" t="str">
            <v>Kasprzaka</v>
          </cell>
        </row>
        <row r="218">
          <cell r="H218" t="str">
            <v>Kasztanowa Al.</v>
          </cell>
        </row>
        <row r="219">
          <cell r="H219" t="str">
            <v>Kasztelańska</v>
          </cell>
        </row>
        <row r="220">
          <cell r="H220" t="str">
            <v>Kaszubska</v>
          </cell>
        </row>
        <row r="221">
          <cell r="H221" t="str">
            <v>Kaszubska\Kurkowa</v>
          </cell>
        </row>
        <row r="222">
          <cell r="H222" t="str">
            <v>Katedralny Pl.</v>
          </cell>
        </row>
        <row r="223">
          <cell r="H223" t="str">
            <v>Kazimierza Wielkiego</v>
          </cell>
        </row>
        <row r="224">
          <cell r="H224" t="str">
            <v>Kazimierza Wielkiego\Pl.Woln.</v>
          </cell>
        </row>
        <row r="225">
          <cell r="H225" t="str">
            <v>Kącka</v>
          </cell>
        </row>
        <row r="226">
          <cell r="H226" t="str">
            <v>Kiełbaśnicza</v>
          </cell>
        </row>
        <row r="227">
          <cell r="H227" t="str">
            <v>Kiełczowska</v>
          </cell>
        </row>
        <row r="228">
          <cell r="H228" t="str">
            <v>Kilińskiego</v>
          </cell>
        </row>
        <row r="229">
          <cell r="H229" t="str">
            <v>Kilińskiego\Prusa</v>
          </cell>
        </row>
        <row r="230">
          <cell r="H230" t="str">
            <v>Klasztorna</v>
          </cell>
        </row>
        <row r="231">
          <cell r="H231" t="str">
            <v>Klecińska</v>
          </cell>
        </row>
        <row r="232">
          <cell r="H232" t="str">
            <v>Kleczkowska</v>
          </cell>
        </row>
        <row r="233">
          <cell r="H233" t="str">
            <v>Klimasa</v>
          </cell>
        </row>
        <row r="234">
          <cell r="H234" t="str">
            <v>Kluczborska</v>
          </cell>
        </row>
        <row r="235">
          <cell r="H235" t="str">
            <v>Kłośna</v>
          </cell>
        </row>
        <row r="236">
          <cell r="H236" t="str">
            <v>Kniaziewicza</v>
          </cell>
        </row>
        <row r="237">
          <cell r="H237" t="str">
            <v>Kobierzycka</v>
          </cell>
        </row>
        <row r="238">
          <cell r="H238" t="str">
            <v>Kochanowskiego</v>
          </cell>
        </row>
        <row r="239">
          <cell r="H239" t="str">
            <v>Kolbuszowska</v>
          </cell>
        </row>
        <row r="240">
          <cell r="H240" t="str">
            <v>Kolejowa</v>
          </cell>
        </row>
        <row r="241">
          <cell r="H241" t="str">
            <v>Kołłątaja</v>
          </cell>
        </row>
        <row r="242">
          <cell r="H242" t="str">
            <v>Komandorska</v>
          </cell>
        </row>
        <row r="243">
          <cell r="H243" t="str">
            <v>Komorowska</v>
          </cell>
        </row>
        <row r="244">
          <cell r="H244" t="str">
            <v>Komuny Paryskiej</v>
          </cell>
        </row>
        <row r="245">
          <cell r="H245" t="str">
            <v>Komuny Paryskiej-Kościuszki-Pułaskiego-Prądzyńskiego</v>
          </cell>
        </row>
        <row r="246">
          <cell r="H246" t="str">
            <v>Konarskiego</v>
          </cell>
        </row>
        <row r="247">
          <cell r="H247" t="str">
            <v>Konstytucji 3-go Maja Pl.</v>
          </cell>
        </row>
        <row r="248">
          <cell r="H248" t="str">
            <v>Kopernika</v>
          </cell>
        </row>
        <row r="249">
          <cell r="H249" t="str">
            <v>Koreańska</v>
          </cell>
        </row>
        <row r="250">
          <cell r="H250" t="str">
            <v>Korzeniowskiego Conrada</v>
          </cell>
        </row>
        <row r="251">
          <cell r="H251" t="str">
            <v>Kosmonautów</v>
          </cell>
        </row>
        <row r="252">
          <cell r="H252" t="str">
            <v>Kosynierów Gdyńskich</v>
          </cell>
        </row>
        <row r="253">
          <cell r="H253" t="str">
            <v>Kościelna</v>
          </cell>
        </row>
        <row r="254">
          <cell r="H254" t="str">
            <v>Kościuszki</v>
          </cell>
        </row>
        <row r="255">
          <cell r="H255" t="str">
            <v>Kościuszki Pl.</v>
          </cell>
        </row>
        <row r="256">
          <cell r="H256" t="str">
            <v>Kotlarska</v>
          </cell>
        </row>
        <row r="257">
          <cell r="H257" t="str">
            <v>Kotsisa</v>
          </cell>
        </row>
        <row r="258">
          <cell r="H258" t="str">
            <v>Kowalska</v>
          </cell>
        </row>
        <row r="259">
          <cell r="H259" t="str">
            <v>Kozanowska</v>
          </cell>
        </row>
        <row r="260">
          <cell r="H260" t="str">
            <v>Krakowska</v>
          </cell>
        </row>
        <row r="261">
          <cell r="H261" t="str">
            <v>Krakusa</v>
          </cell>
        </row>
        <row r="262">
          <cell r="H262" t="str">
            <v>Krasickiego</v>
          </cell>
        </row>
        <row r="263">
          <cell r="H263" t="str">
            <v>Krasińskiego</v>
          </cell>
        </row>
        <row r="264">
          <cell r="H264" t="str">
            <v>Kraszewskiego</v>
          </cell>
        </row>
        <row r="265">
          <cell r="H265" t="str">
            <v>Kreślarska</v>
          </cell>
        </row>
        <row r="266">
          <cell r="H266" t="str">
            <v>Krępicka</v>
          </cell>
        </row>
        <row r="267">
          <cell r="H267" t="str">
            <v>Kręta</v>
          </cell>
        </row>
        <row r="268">
          <cell r="H268" t="str">
            <v>Kromera Al.</v>
          </cell>
        </row>
        <row r="269">
          <cell r="H269" t="str">
            <v>Krośnieńska</v>
          </cell>
        </row>
        <row r="270">
          <cell r="H270" t="str">
            <v>Krotoszyńska</v>
          </cell>
        </row>
        <row r="271">
          <cell r="H271" t="str">
            <v>Krowia</v>
          </cell>
        </row>
        <row r="272">
          <cell r="H272" t="str">
            <v>Królewiecka</v>
          </cell>
        </row>
        <row r="273">
          <cell r="H273" t="str">
            <v>Krucza</v>
          </cell>
        </row>
        <row r="274">
          <cell r="H274" t="str">
            <v>Krupnicza</v>
          </cell>
        </row>
        <row r="275">
          <cell r="H275" t="str">
            <v>Krynicka</v>
          </cell>
        </row>
        <row r="276">
          <cell r="H276" t="str">
            <v>Krzemieniecka</v>
          </cell>
        </row>
        <row r="277">
          <cell r="H277" t="str">
            <v>Krzycka</v>
          </cell>
        </row>
        <row r="278">
          <cell r="H278" t="str">
            <v>Krzycka\Wiosenna</v>
          </cell>
        </row>
        <row r="279">
          <cell r="H279" t="str">
            <v>Krzywa</v>
          </cell>
        </row>
        <row r="280">
          <cell r="H280" t="str">
            <v>Krzywa\Reja</v>
          </cell>
        </row>
        <row r="281">
          <cell r="H281" t="str">
            <v>Krzywoustego</v>
          </cell>
        </row>
        <row r="282">
          <cell r="H282" t="str">
            <v>Ks.Witolda</v>
          </cell>
        </row>
        <row r="283">
          <cell r="H283" t="str">
            <v>Księgarska</v>
          </cell>
        </row>
        <row r="284">
          <cell r="H284" t="str">
            <v>Księska</v>
          </cell>
        </row>
        <row r="285">
          <cell r="H285" t="str">
            <v>Księżycowa</v>
          </cell>
        </row>
        <row r="286">
          <cell r="H286" t="str">
            <v>Kurkowa</v>
          </cell>
        </row>
        <row r="287">
          <cell r="H287" t="str">
            <v>Kurpiów</v>
          </cell>
        </row>
        <row r="288">
          <cell r="H288" t="str">
            <v>Kuźnicza</v>
          </cell>
        </row>
        <row r="289">
          <cell r="H289" t="str">
            <v>Kwaśna</v>
          </cell>
        </row>
        <row r="290">
          <cell r="H290" t="str">
            <v>Kwaśna\róg Stalowej</v>
          </cell>
        </row>
        <row r="291">
          <cell r="H291" t="str">
            <v>Kwidzyńska</v>
          </cell>
        </row>
        <row r="292">
          <cell r="H292" t="str">
            <v>Ledóchowskiego</v>
          </cell>
        </row>
        <row r="293">
          <cell r="H293" t="str">
            <v>Legionów Pl.</v>
          </cell>
        </row>
        <row r="294">
          <cell r="H294" t="str">
            <v>Legnicka</v>
          </cell>
        </row>
        <row r="295">
          <cell r="H295" t="str">
            <v>Lekcyjna</v>
          </cell>
        </row>
        <row r="296">
          <cell r="H296" t="str">
            <v>Lelewela</v>
          </cell>
        </row>
        <row r="297">
          <cell r="H297" t="str">
            <v>Leonarda da Vinci</v>
          </cell>
        </row>
        <row r="298">
          <cell r="H298" t="str">
            <v>Leszczyńskiego</v>
          </cell>
        </row>
        <row r="299">
          <cell r="H299" t="str">
            <v>Leśna</v>
          </cell>
        </row>
        <row r="300">
          <cell r="H300" t="str">
            <v>Libelta</v>
          </cell>
        </row>
        <row r="301">
          <cell r="H301" t="str">
            <v>Lipińskiego</v>
          </cell>
        </row>
        <row r="302">
          <cell r="H302" t="str">
            <v>Lipowa Al.</v>
          </cell>
        </row>
        <row r="303">
          <cell r="H303" t="str">
            <v>Liskego</v>
          </cell>
        </row>
        <row r="304">
          <cell r="H304" t="str">
            <v>Litomska</v>
          </cell>
        </row>
        <row r="305">
          <cell r="H305" t="str">
            <v>Lniana</v>
          </cell>
        </row>
        <row r="306">
          <cell r="H306" t="str">
            <v>Lompy</v>
          </cell>
        </row>
        <row r="307">
          <cell r="H307" t="str">
            <v>Lotnicza</v>
          </cell>
        </row>
        <row r="308">
          <cell r="H308" t="str">
            <v>Lubelska</v>
          </cell>
        </row>
        <row r="309">
          <cell r="H309" t="str">
            <v>Lubińska</v>
          </cell>
        </row>
        <row r="310">
          <cell r="H310" t="str">
            <v>Lubuska</v>
          </cell>
        </row>
        <row r="311">
          <cell r="H311" t="str">
            <v>Lwowska</v>
          </cell>
        </row>
        <row r="312">
          <cell r="H312" t="str">
            <v>Łaciarska</v>
          </cell>
        </row>
        <row r="313">
          <cell r="H313" t="str">
            <v>Ładna</v>
          </cell>
        </row>
        <row r="314">
          <cell r="H314" t="str">
            <v>Łanowa</v>
          </cell>
        </row>
        <row r="315">
          <cell r="H315" t="str">
            <v>Łaska (d.Leska)</v>
          </cell>
        </row>
        <row r="316">
          <cell r="H316" t="str">
            <v>Łazienna</v>
          </cell>
        </row>
        <row r="317">
          <cell r="H317" t="str">
            <v>Łączności</v>
          </cell>
        </row>
        <row r="318">
          <cell r="H318" t="str">
            <v>Łąka Mazurska</v>
          </cell>
        </row>
        <row r="319">
          <cell r="H319" t="str">
            <v>Łąkowa</v>
          </cell>
        </row>
        <row r="320">
          <cell r="H320" t="str">
            <v>Łęczycka</v>
          </cell>
        </row>
        <row r="321">
          <cell r="H321" t="str">
            <v>Łokietka</v>
          </cell>
        </row>
        <row r="322">
          <cell r="H322" t="str">
            <v>Łowiecka</v>
          </cell>
        </row>
        <row r="323">
          <cell r="H323" t="str">
            <v>Łódzka</v>
          </cell>
        </row>
        <row r="324">
          <cell r="H324" t="str">
            <v>Łubinowa</v>
          </cell>
        </row>
        <row r="325">
          <cell r="H325" t="str">
            <v>Łuczników</v>
          </cell>
        </row>
        <row r="326">
          <cell r="H326" t="str">
            <v>Łukasiewicza</v>
          </cell>
        </row>
        <row r="327">
          <cell r="H327" t="str">
            <v>Łukasińskiego</v>
          </cell>
        </row>
        <row r="328">
          <cell r="H328" t="str">
            <v>Łysogórska\Waflowa</v>
          </cell>
        </row>
        <row r="329">
          <cell r="H329" t="str">
            <v>Macieja Św. Pl.</v>
          </cell>
        </row>
        <row r="330">
          <cell r="H330" t="str">
            <v>Majchra</v>
          </cell>
        </row>
        <row r="331">
          <cell r="H331" t="str">
            <v>Makowa</v>
          </cell>
        </row>
        <row r="332">
          <cell r="H332" t="str">
            <v>Maksa Borna</v>
          </cell>
        </row>
        <row r="333">
          <cell r="H333" t="str">
            <v>Malarska</v>
          </cell>
        </row>
        <row r="334">
          <cell r="H334" t="str">
            <v>Malczewskiego</v>
          </cell>
        </row>
        <row r="335">
          <cell r="H335" t="str">
            <v>Małachowskiego</v>
          </cell>
        </row>
        <row r="336">
          <cell r="H336" t="str">
            <v>Manganowa</v>
          </cell>
        </row>
        <row r="337">
          <cell r="H337" t="str">
            <v>Marcina Św.</v>
          </cell>
        </row>
        <row r="338">
          <cell r="H338" t="str">
            <v>Marcinkowskiego</v>
          </cell>
        </row>
        <row r="339">
          <cell r="H339" t="str">
            <v>Marszowicka</v>
          </cell>
        </row>
        <row r="340">
          <cell r="H340" t="str">
            <v>Masztowa</v>
          </cell>
        </row>
        <row r="341">
          <cell r="H341" t="str">
            <v>Masztowa</v>
          </cell>
        </row>
        <row r="342">
          <cell r="H342" t="str">
            <v>Maślicka</v>
          </cell>
        </row>
        <row r="343">
          <cell r="H343" t="str">
            <v>Matejki Al.</v>
          </cell>
        </row>
        <row r="344">
          <cell r="H344" t="str">
            <v>Mazowiecka</v>
          </cell>
        </row>
        <row r="345">
          <cell r="H345" t="str">
            <v>Mennicza</v>
          </cell>
        </row>
        <row r="346">
          <cell r="H346" t="str">
            <v>Męcińskiego</v>
          </cell>
        </row>
        <row r="347">
          <cell r="H347" t="str">
            <v>Miarki Karola</v>
          </cell>
        </row>
        <row r="348">
          <cell r="H348" t="str">
            <v>Micińskiego</v>
          </cell>
        </row>
        <row r="349">
          <cell r="H349" t="str">
            <v>Mickiewicza</v>
          </cell>
        </row>
        <row r="350">
          <cell r="H350" t="str">
            <v>Mielczarskiego</v>
          </cell>
        </row>
        <row r="351">
          <cell r="H351" t="str">
            <v>Mielecka</v>
          </cell>
        </row>
        <row r="352">
          <cell r="H352" t="str">
            <v>Miernicza</v>
          </cell>
        </row>
        <row r="353">
          <cell r="H353" t="str">
            <v>Mierosławskiego</v>
          </cell>
        </row>
        <row r="354">
          <cell r="H354" t="str">
            <v>Mieszka I</v>
          </cell>
        </row>
        <row r="355">
          <cell r="H355" t="str">
            <v>Migdałowa</v>
          </cell>
        </row>
        <row r="356">
          <cell r="H356" t="str">
            <v>Mikołaja Św.</v>
          </cell>
        </row>
        <row r="357">
          <cell r="H357" t="str">
            <v>Milicka</v>
          </cell>
        </row>
        <row r="358">
          <cell r="H358" t="str">
            <v>Miłoszycka</v>
          </cell>
        </row>
        <row r="359">
          <cell r="H359" t="str">
            <v>Minkowskiego</v>
          </cell>
        </row>
        <row r="360">
          <cell r="H360" t="str">
            <v>Miodowa</v>
          </cell>
        </row>
        <row r="361">
          <cell r="H361" t="str">
            <v>Miodowa\Trzmielowicka</v>
          </cell>
        </row>
        <row r="362">
          <cell r="H362" t="str">
            <v>Młynarska</v>
          </cell>
        </row>
        <row r="363">
          <cell r="H363" t="str">
            <v>Modlińska</v>
          </cell>
        </row>
        <row r="364">
          <cell r="H364" t="str">
            <v>Modlińska</v>
          </cell>
        </row>
        <row r="365">
          <cell r="H365" t="str">
            <v>Mokrzańska</v>
          </cell>
        </row>
        <row r="366">
          <cell r="H366" t="str">
            <v>Mongolski Pl.</v>
          </cell>
        </row>
        <row r="367">
          <cell r="H367" t="str">
            <v>Moniuszki</v>
          </cell>
        </row>
        <row r="368">
          <cell r="H368" t="str">
            <v>Monte Cassino</v>
          </cell>
        </row>
        <row r="369">
          <cell r="H369" t="str">
            <v>Morawska</v>
          </cell>
        </row>
        <row r="370">
          <cell r="H370" t="str">
            <v>Mosbacha</v>
          </cell>
        </row>
        <row r="371">
          <cell r="H371" t="str">
            <v>Mosiężna</v>
          </cell>
        </row>
        <row r="372">
          <cell r="H372" t="str">
            <v>Mościckiego</v>
          </cell>
        </row>
        <row r="373">
          <cell r="H373" t="str">
            <v>Mulicka</v>
          </cell>
        </row>
        <row r="374">
          <cell r="H374" t="str">
            <v>Murarska</v>
          </cell>
        </row>
        <row r="375">
          <cell r="H375" t="str">
            <v>Murarska\Koszykarska</v>
          </cell>
        </row>
        <row r="376">
          <cell r="H376" t="str">
            <v>Muzealny Pl.</v>
          </cell>
        </row>
        <row r="377">
          <cell r="H377" t="str">
            <v>Myśliwska</v>
          </cell>
        </row>
        <row r="378">
          <cell r="H378" t="str">
            <v>Na Grobli</v>
          </cell>
        </row>
        <row r="379">
          <cell r="H379" t="str">
            <v>Na Szańcach</v>
          </cell>
        </row>
        <row r="380">
          <cell r="H380" t="str">
            <v>Nabycińska</v>
          </cell>
        </row>
        <row r="381">
          <cell r="H381" t="str">
            <v>Nankiera Pl.</v>
          </cell>
        </row>
        <row r="382">
          <cell r="H382" t="str">
            <v>Narcyzowa</v>
          </cell>
        </row>
        <row r="383">
          <cell r="H383" t="str">
            <v>Nasturcjowa</v>
          </cell>
        </row>
        <row r="384">
          <cell r="H384" t="str">
            <v>Nasypowa</v>
          </cell>
        </row>
        <row r="385">
          <cell r="H385" t="str">
            <v>Nauczycielska</v>
          </cell>
        </row>
        <row r="386">
          <cell r="H386" t="str">
            <v>Nehringa</v>
          </cell>
        </row>
        <row r="387">
          <cell r="H387" t="str">
            <v>Niecała</v>
          </cell>
        </row>
        <row r="388">
          <cell r="H388" t="str">
            <v>Niemcewicza</v>
          </cell>
        </row>
        <row r="389">
          <cell r="H389" t="str">
            <v>Niepodległości</v>
          </cell>
        </row>
        <row r="390">
          <cell r="H390" t="str">
            <v>Niklowa</v>
          </cell>
        </row>
        <row r="391">
          <cell r="H391" t="str">
            <v>Nobla</v>
          </cell>
        </row>
        <row r="392">
          <cell r="H392" t="str">
            <v>Norblina</v>
          </cell>
        </row>
        <row r="393">
          <cell r="H393" t="str">
            <v>Norweska</v>
          </cell>
        </row>
        <row r="394">
          <cell r="H394" t="str">
            <v>Norwida</v>
          </cell>
        </row>
        <row r="395">
          <cell r="H395" t="str">
            <v>Norwida-Smoluchowskiego</v>
          </cell>
        </row>
        <row r="396">
          <cell r="H396" t="str">
            <v>Nowa</v>
          </cell>
        </row>
        <row r="397">
          <cell r="H397" t="str">
            <v>Nowodworska</v>
          </cell>
        </row>
        <row r="398">
          <cell r="H398" t="str">
            <v>Nowowiejska</v>
          </cell>
        </row>
        <row r="399">
          <cell r="H399" t="str">
            <v>Nowowiejska\Prusa</v>
          </cell>
        </row>
        <row r="400">
          <cell r="H400" t="str">
            <v>Nowy Targ</v>
          </cell>
        </row>
        <row r="401">
          <cell r="H401" t="str">
            <v>Nożownicza</v>
          </cell>
        </row>
        <row r="402">
          <cell r="H402" t="str">
            <v>Nulla</v>
          </cell>
        </row>
        <row r="403">
          <cell r="H403" t="str">
            <v>Nyska</v>
          </cell>
        </row>
        <row r="404">
          <cell r="H404" t="str">
            <v>Objazdowa</v>
          </cell>
        </row>
        <row r="405">
          <cell r="H405" t="str">
            <v>Obornicka</v>
          </cell>
        </row>
        <row r="406">
          <cell r="H406" t="str">
            <v>Obroń. Pocz. Gdań.</v>
          </cell>
        </row>
        <row r="407">
          <cell r="H407" t="str">
            <v>Odkrywców</v>
          </cell>
        </row>
        <row r="408">
          <cell r="H408" t="str">
            <v>Odrodzenia Polski</v>
          </cell>
        </row>
        <row r="409">
          <cell r="H409" t="str">
            <v>Odrzańska</v>
          </cell>
        </row>
        <row r="410">
          <cell r="H410" t="str">
            <v>Of. Oświęcimskich</v>
          </cell>
        </row>
        <row r="411">
          <cell r="H411" t="str">
            <v>Oficerska</v>
          </cell>
        </row>
        <row r="412">
          <cell r="H412" t="str">
            <v>Ogródek Jordanowski</v>
          </cell>
        </row>
        <row r="413">
          <cell r="H413" t="str">
            <v>Okrzei</v>
          </cell>
        </row>
        <row r="414">
          <cell r="H414" t="str">
            <v>Okulickiego</v>
          </cell>
        </row>
        <row r="415">
          <cell r="H415" t="str">
            <v>Oleśnicka</v>
          </cell>
        </row>
        <row r="416">
          <cell r="H416" t="str">
            <v>Olszewskiego</v>
          </cell>
        </row>
        <row r="417">
          <cell r="H417" t="str">
            <v>Olsztyńska</v>
          </cell>
        </row>
        <row r="418">
          <cell r="H418" t="str">
            <v>Oławska</v>
          </cell>
        </row>
        <row r="419">
          <cell r="H419" t="str">
            <v>Ołbińska</v>
          </cell>
        </row>
        <row r="420">
          <cell r="H420" t="str">
            <v>Ołowiana</v>
          </cell>
        </row>
        <row r="421">
          <cell r="H421" t="str">
            <v>Opolska</v>
          </cell>
        </row>
        <row r="422">
          <cell r="H422" t="str">
            <v>Oporowska</v>
          </cell>
        </row>
        <row r="423">
          <cell r="H423" t="str">
            <v>Orkana</v>
          </cell>
        </row>
        <row r="424">
          <cell r="H424" t="str">
            <v>Orla</v>
          </cell>
        </row>
        <row r="425">
          <cell r="H425" t="str">
            <v>Orląt Lwowskich Pl.</v>
          </cell>
        </row>
        <row r="426">
          <cell r="H426" t="str">
            <v>Orzechowa</v>
          </cell>
        </row>
        <row r="427">
          <cell r="H427" t="str">
            <v>Orzeszkowej</v>
          </cell>
        </row>
        <row r="428">
          <cell r="H428" t="str">
            <v>Orzeszkowej\Jaracza</v>
          </cell>
        </row>
        <row r="429">
          <cell r="H429" t="str">
            <v>Osadnicza</v>
          </cell>
        </row>
        <row r="430">
          <cell r="H430" t="str">
            <v>Osmańczyka</v>
          </cell>
        </row>
        <row r="431">
          <cell r="H431" t="str">
            <v>Osobowicka</v>
          </cell>
        </row>
        <row r="432">
          <cell r="H432" t="str">
            <v>Ostrowska</v>
          </cell>
        </row>
        <row r="433">
          <cell r="H433" t="str">
            <v>Ostrowskiego</v>
          </cell>
        </row>
        <row r="434">
          <cell r="H434" t="str">
            <v>Otmuchowska</v>
          </cell>
        </row>
        <row r="435">
          <cell r="H435" t="str">
            <v>Otwarta</v>
          </cell>
        </row>
        <row r="436">
          <cell r="H436" t="str">
            <v>Owocowa</v>
          </cell>
        </row>
        <row r="437">
          <cell r="H437" t="str">
            <v>Owsiana</v>
          </cell>
        </row>
        <row r="438">
          <cell r="H438" t="str">
            <v>Owsiana</v>
          </cell>
        </row>
        <row r="439">
          <cell r="H439" t="str">
            <v>Paczkowska</v>
          </cell>
        </row>
        <row r="440">
          <cell r="H440" t="str">
            <v>Pakistańska</v>
          </cell>
        </row>
        <row r="441">
          <cell r="H441" t="str">
            <v>Pałucka</v>
          </cell>
        </row>
        <row r="442">
          <cell r="H442" t="str">
            <v>Pankiewicza</v>
          </cell>
        </row>
        <row r="443">
          <cell r="H443" t="str">
            <v>Papiernicza</v>
          </cell>
        </row>
        <row r="444">
          <cell r="H444" t="str">
            <v>Parafialna</v>
          </cell>
        </row>
        <row r="445">
          <cell r="H445" t="str">
            <v>Parkowa</v>
          </cell>
        </row>
        <row r="446">
          <cell r="H446" t="str">
            <v>Parnickiego</v>
          </cell>
        </row>
        <row r="447">
          <cell r="H447" t="str">
            <v>Partynicka</v>
          </cell>
        </row>
        <row r="448">
          <cell r="H448" t="str">
            <v>Partyzantów</v>
          </cell>
        </row>
        <row r="449">
          <cell r="H449" t="str">
            <v>Pasteura</v>
          </cell>
        </row>
        <row r="450">
          <cell r="H450" t="str">
            <v>Paulińska</v>
          </cell>
        </row>
        <row r="451">
          <cell r="H451" t="str">
            <v>Pawia</v>
          </cell>
        </row>
        <row r="452">
          <cell r="H452" t="str">
            <v>Pawłowa</v>
          </cell>
        </row>
        <row r="453">
          <cell r="H453" t="str">
            <v>Pełczyńska</v>
          </cell>
        </row>
        <row r="454">
          <cell r="H454" t="str">
            <v>Pereca</v>
          </cell>
        </row>
        <row r="455">
          <cell r="H455" t="str">
            <v>Pereca Plac</v>
          </cell>
        </row>
        <row r="456">
          <cell r="H456" t="str">
            <v>Pestalozziego</v>
          </cell>
        </row>
        <row r="457">
          <cell r="H457" t="str">
            <v>Pęgowska</v>
          </cell>
        </row>
        <row r="458">
          <cell r="H458" t="str">
            <v>Piaskowa</v>
          </cell>
        </row>
        <row r="459">
          <cell r="H459" t="str">
            <v>Piastowska</v>
          </cell>
        </row>
        <row r="460">
          <cell r="H460" t="str">
            <v>Piastów</v>
          </cell>
        </row>
        <row r="461">
          <cell r="H461" t="str">
            <v>Piekarska</v>
          </cell>
        </row>
        <row r="462">
          <cell r="H462" t="str">
            <v>Piernikowa</v>
          </cell>
        </row>
        <row r="463">
          <cell r="H463" t="str">
            <v>Piękna</v>
          </cell>
        </row>
        <row r="464">
          <cell r="H464" t="str">
            <v>Pilczycka</v>
          </cell>
        </row>
        <row r="465">
          <cell r="H465" t="str">
            <v>Piłsudskiego</v>
          </cell>
        </row>
        <row r="466">
          <cell r="H466" t="str">
            <v>Piłsudskiego Pl.</v>
          </cell>
        </row>
        <row r="467">
          <cell r="H467" t="str">
            <v>Pionierska</v>
          </cell>
        </row>
        <row r="468">
          <cell r="H468" t="str">
            <v>Pionierów</v>
          </cell>
        </row>
        <row r="469">
          <cell r="H469" t="str">
            <v>Piwnika Ponurego</v>
          </cell>
        </row>
        <row r="470">
          <cell r="H470" t="str">
            <v>Piwowarska</v>
          </cell>
        </row>
        <row r="471">
          <cell r="H471" t="str">
            <v>Plater Emilii</v>
          </cell>
        </row>
        <row r="472">
          <cell r="H472" t="str">
            <v>Pleszewska</v>
          </cell>
        </row>
        <row r="473">
          <cell r="H473" t="str">
            <v>Płońskiego</v>
          </cell>
        </row>
        <row r="474">
          <cell r="H474" t="str">
            <v>Pobożnego</v>
          </cell>
        </row>
        <row r="475">
          <cell r="H475" t="str">
            <v>Pocztowa</v>
          </cell>
        </row>
        <row r="476">
          <cell r="H476" t="str">
            <v>Podchorążych</v>
          </cell>
        </row>
        <row r="477">
          <cell r="H477" t="str">
            <v>Podróżnicza</v>
          </cell>
        </row>
        <row r="478">
          <cell r="H478" t="str">
            <v>Podwale</v>
          </cell>
        </row>
        <row r="479">
          <cell r="H479" t="str">
            <v>Podwale\Komuny Paryskiej</v>
          </cell>
        </row>
        <row r="480">
          <cell r="H480" t="str">
            <v>Podwale\Krupnicza</v>
          </cell>
        </row>
        <row r="481">
          <cell r="H481" t="str">
            <v>Podwale\Skargi Piotra</v>
          </cell>
        </row>
        <row r="482">
          <cell r="H482" t="str">
            <v>Podwórcowa</v>
          </cell>
        </row>
        <row r="483">
          <cell r="H483" t="str">
            <v>Pola Wincentego</v>
          </cell>
        </row>
        <row r="484">
          <cell r="H484" t="str">
            <v>Polaka</v>
          </cell>
        </row>
        <row r="485">
          <cell r="H485" t="str">
            <v>Poleska</v>
          </cell>
        </row>
        <row r="486">
          <cell r="H486" t="str">
            <v>Polna</v>
          </cell>
        </row>
        <row r="487">
          <cell r="H487" t="str">
            <v>Polonii Wrocławskiej</v>
          </cell>
        </row>
        <row r="488">
          <cell r="H488" t="str">
            <v>Połaniecka</v>
          </cell>
        </row>
        <row r="489">
          <cell r="H489" t="str">
            <v>Połbina</v>
          </cell>
        </row>
        <row r="490">
          <cell r="H490" t="str">
            <v>Południowa</v>
          </cell>
        </row>
        <row r="491">
          <cell r="H491" t="str">
            <v>Pomorska</v>
          </cell>
        </row>
        <row r="492">
          <cell r="H492" t="str">
            <v>Poniatowskiego</v>
          </cell>
        </row>
        <row r="493">
          <cell r="H493" t="str">
            <v>Popielskiego</v>
          </cell>
        </row>
        <row r="494">
          <cell r="H494" t="str">
            <v>Poranna</v>
          </cell>
        </row>
        <row r="495">
          <cell r="H495" t="str">
            <v>Porębska</v>
          </cell>
        </row>
        <row r="496">
          <cell r="H496" t="str">
            <v>Poświęcka</v>
          </cell>
        </row>
        <row r="497">
          <cell r="H497" t="str">
            <v>Potebni</v>
          </cell>
        </row>
        <row r="498">
          <cell r="H498" t="str">
            <v>Potokowa</v>
          </cell>
        </row>
        <row r="499">
          <cell r="H499" t="str">
            <v>Powstańców Śl.</v>
          </cell>
        </row>
        <row r="500">
          <cell r="H500" t="str">
            <v>Powstańców Śl. Pl.</v>
          </cell>
        </row>
        <row r="501">
          <cell r="H501" t="str">
            <v>Powstańców Wlkp. Pl.</v>
          </cell>
        </row>
        <row r="502">
          <cell r="H502" t="str">
            <v>Północna</v>
          </cell>
        </row>
        <row r="503">
          <cell r="H503" t="str">
            <v>Pracy Al.</v>
          </cell>
        </row>
        <row r="504">
          <cell r="H504" t="str">
            <v>Prądzyńskiego</v>
          </cell>
        </row>
        <row r="505">
          <cell r="H505" t="str">
            <v>Pretficza</v>
          </cell>
        </row>
        <row r="506">
          <cell r="H506" t="str">
            <v>Probusa</v>
          </cell>
        </row>
        <row r="507">
          <cell r="H507" t="str">
            <v>Promenada</v>
          </cell>
        </row>
        <row r="508">
          <cell r="H508" t="str">
            <v>Promień</v>
          </cell>
        </row>
        <row r="509">
          <cell r="H509" t="str">
            <v>Prosta</v>
          </cell>
        </row>
        <row r="510">
          <cell r="H510" t="str">
            <v>Prudnicka</v>
          </cell>
        </row>
        <row r="511">
          <cell r="H511" t="str">
            <v>Prusa</v>
          </cell>
        </row>
        <row r="512">
          <cell r="H512" t="str">
            <v>Przednia</v>
          </cell>
        </row>
        <row r="513">
          <cell r="H513" t="str">
            <v>Przedwiośnie</v>
          </cell>
        </row>
        <row r="514">
          <cell r="H514" t="str">
            <v>Przejazdowa</v>
          </cell>
        </row>
        <row r="515">
          <cell r="H515" t="str">
            <v>Przejście Garncarskie</v>
          </cell>
        </row>
        <row r="516">
          <cell r="H516" t="str">
            <v>Przemkowska</v>
          </cell>
        </row>
        <row r="517">
          <cell r="H517" t="str">
            <v>Przesiecka</v>
          </cell>
        </row>
        <row r="518">
          <cell r="H518" t="str">
            <v>Przeskok</v>
          </cell>
        </row>
        <row r="519">
          <cell r="H519" t="str">
            <v>Przesmyckiego</v>
          </cell>
        </row>
        <row r="520">
          <cell r="H520" t="str">
            <v>Przestrzenna</v>
          </cell>
        </row>
        <row r="521">
          <cell r="H521" t="str">
            <v>Przestrzenna\Tomaszowska</v>
          </cell>
        </row>
        <row r="522">
          <cell r="H522" t="str">
            <v>Przybyszewskiego</v>
          </cell>
        </row>
        <row r="523">
          <cell r="H523" t="str">
            <v>Przyjaźni</v>
          </cell>
        </row>
        <row r="524">
          <cell r="H524" t="str">
            <v>Przystankowa</v>
          </cell>
        </row>
        <row r="525">
          <cell r="H525" t="str">
            <v>Psie Budy</v>
          </cell>
        </row>
        <row r="526">
          <cell r="H526" t="str">
            <v>Pszczelarska</v>
          </cell>
        </row>
        <row r="527">
          <cell r="H527" t="str">
            <v>Pszczyńska</v>
          </cell>
        </row>
        <row r="528">
          <cell r="H528" t="str">
            <v>Pszenna</v>
          </cell>
        </row>
        <row r="529">
          <cell r="H529" t="str">
            <v>Ptasia</v>
          </cell>
        </row>
        <row r="530">
          <cell r="H530" t="str">
            <v>Pugeta</v>
          </cell>
        </row>
        <row r="531">
          <cell r="H531" t="str">
            <v>Pułaskiego</v>
          </cell>
        </row>
        <row r="532">
          <cell r="H532" t="str">
            <v>Pułtuska</v>
          </cell>
        </row>
        <row r="533">
          <cell r="H533" t="str">
            <v>Purkyniego</v>
          </cell>
        </row>
        <row r="534">
          <cell r="H534" t="str">
            <v>Pusta</v>
          </cell>
        </row>
        <row r="535">
          <cell r="H535" t="str">
            <v>Pustecka</v>
          </cell>
        </row>
        <row r="536">
          <cell r="H536" t="str">
            <v>Puszczykowska</v>
          </cell>
        </row>
        <row r="537">
          <cell r="H537" t="str">
            <v>Racławicka</v>
          </cell>
        </row>
        <row r="538">
          <cell r="H538" t="str">
            <v>Radomska</v>
          </cell>
        </row>
        <row r="539">
          <cell r="H539" t="str">
            <v>Rajska</v>
          </cell>
        </row>
        <row r="540">
          <cell r="H540" t="str">
            <v>Rakietowa</v>
          </cell>
        </row>
        <row r="541">
          <cell r="H541" t="str">
            <v>Rakowiecka</v>
          </cell>
        </row>
        <row r="542">
          <cell r="H542" t="str">
            <v>Rdestowa</v>
          </cell>
        </row>
        <row r="543">
          <cell r="H543" t="str">
            <v xml:space="preserve">Redarów </v>
          </cell>
        </row>
        <row r="544">
          <cell r="H544" t="str">
            <v>Redycka</v>
          </cell>
        </row>
        <row r="545">
          <cell r="H545" t="str">
            <v>Reja</v>
          </cell>
        </row>
        <row r="546">
          <cell r="H546" t="str">
            <v>Rejtana</v>
          </cell>
        </row>
        <row r="547">
          <cell r="H547" t="str">
            <v>Reymonta</v>
          </cell>
        </row>
        <row r="548">
          <cell r="H548" t="str">
            <v>Rędzińska</v>
          </cell>
        </row>
        <row r="549">
          <cell r="H549" t="str">
            <v>Robotnicza</v>
          </cell>
        </row>
        <row r="550">
          <cell r="H550" t="str">
            <v>Robotnicza\Wagonowa</v>
          </cell>
        </row>
        <row r="551">
          <cell r="H551" t="str">
            <v>Rodakowskiego</v>
          </cell>
        </row>
        <row r="552">
          <cell r="H552" t="str">
            <v>Roentgena</v>
          </cell>
        </row>
        <row r="553">
          <cell r="H553" t="str">
            <v>Rolnicza</v>
          </cell>
        </row>
        <row r="554">
          <cell r="H554" t="str">
            <v>Romanowskiego</v>
          </cell>
        </row>
        <row r="555">
          <cell r="H555" t="str">
            <v>Roosevelta</v>
          </cell>
        </row>
        <row r="556">
          <cell r="H556" t="str">
            <v>Rostafińskiego</v>
          </cell>
        </row>
        <row r="557">
          <cell r="H557" t="str">
            <v>Rozbrat</v>
          </cell>
        </row>
        <row r="558">
          <cell r="H558" t="str">
            <v>Równa</v>
          </cell>
        </row>
        <row r="559">
          <cell r="H559" t="str">
            <v>Rubczaka</v>
          </cell>
        </row>
        <row r="560">
          <cell r="H560" t="str">
            <v>Rumiankowa</v>
          </cell>
        </row>
        <row r="561">
          <cell r="H561" t="str">
            <v>Ruska</v>
          </cell>
        </row>
        <row r="562">
          <cell r="H562" t="str">
            <v>Ruska \ Rzeźnicza</v>
          </cell>
        </row>
        <row r="563">
          <cell r="H563" t="str">
            <v>Rybacka</v>
          </cell>
        </row>
        <row r="564">
          <cell r="H564" t="str">
            <v>Rybia</v>
          </cell>
        </row>
        <row r="565">
          <cell r="H565" t="str">
            <v>Rybnicka</v>
          </cell>
        </row>
        <row r="566">
          <cell r="H566" t="str">
            <v>Rychtalska</v>
          </cell>
        </row>
        <row r="567">
          <cell r="H567" t="str">
            <v>Rydygiera</v>
          </cell>
        </row>
        <row r="568">
          <cell r="H568" t="str">
            <v>Rynek</v>
          </cell>
        </row>
        <row r="569">
          <cell r="H569" t="str">
            <v>Rynek-Ratusz</v>
          </cell>
        </row>
        <row r="570">
          <cell r="H570" t="str">
            <v>Rytownicza</v>
          </cell>
        </row>
        <row r="571">
          <cell r="H571" t="str">
            <v>Rytownicza\Średzka</v>
          </cell>
        </row>
        <row r="572">
          <cell r="H572" t="str">
            <v>Rzeźnicza</v>
          </cell>
        </row>
        <row r="573">
          <cell r="H573" t="str">
            <v>Sadownicza</v>
          </cell>
        </row>
        <row r="574">
          <cell r="H574" t="str">
            <v>Samborska</v>
          </cell>
        </row>
        <row r="575">
          <cell r="H575" t="str">
            <v>Saperów</v>
          </cell>
        </row>
        <row r="576">
          <cell r="H576" t="str">
            <v>Sarbinowska</v>
          </cell>
        </row>
        <row r="577">
          <cell r="H577" t="str">
            <v>Sądowa</v>
          </cell>
        </row>
        <row r="578">
          <cell r="H578" t="str">
            <v>Semaforowa</v>
          </cell>
        </row>
        <row r="579">
          <cell r="H579" t="str">
            <v>Sempołowskiej</v>
          </cell>
        </row>
        <row r="580">
          <cell r="H580" t="str">
            <v>Sernicka</v>
          </cell>
        </row>
        <row r="581">
          <cell r="H581" t="str">
            <v>Serowarska</v>
          </cell>
        </row>
        <row r="582">
          <cell r="H582" t="str">
            <v>Sępa Szarzyńskiego</v>
          </cell>
        </row>
        <row r="583">
          <cell r="H583" t="str">
            <v>Sępa Szarzyńskiego-Ukryta-Rozbrat</v>
          </cell>
        </row>
        <row r="584">
          <cell r="H584" t="str">
            <v>Siemieńskiego</v>
          </cell>
        </row>
        <row r="585">
          <cell r="H585" t="str">
            <v>Siemiradzkiego</v>
          </cell>
        </row>
        <row r="586">
          <cell r="H586" t="str">
            <v>Sienkiewicza</v>
          </cell>
        </row>
        <row r="587">
          <cell r="H587" t="str">
            <v>Sienna</v>
          </cell>
        </row>
        <row r="588">
          <cell r="H588" t="str">
            <v>Sierakowskiego</v>
          </cell>
        </row>
        <row r="589">
          <cell r="H589" t="str">
            <v>Sikorskiego</v>
          </cell>
        </row>
        <row r="590">
          <cell r="H590" t="str">
            <v>Skarbowców</v>
          </cell>
        </row>
        <row r="591">
          <cell r="H591" t="str">
            <v>Skargi Piotra</v>
          </cell>
        </row>
        <row r="592">
          <cell r="H592" t="str">
            <v>Skłodowskiej-Curie</v>
          </cell>
        </row>
        <row r="593">
          <cell r="H593" t="str">
            <v>Skoczylasa</v>
          </cell>
        </row>
        <row r="594">
          <cell r="H594" t="str">
            <v>Skoczylasa (Średzka 13)</v>
          </cell>
        </row>
        <row r="595">
          <cell r="H595" t="str">
            <v>Skrajna</v>
          </cell>
        </row>
        <row r="596">
          <cell r="H596" t="str">
            <v>Skwierzyńska</v>
          </cell>
        </row>
        <row r="597">
          <cell r="H597" t="str">
            <v>Sławka</v>
          </cell>
        </row>
        <row r="598">
          <cell r="H598" t="str">
            <v>Słowackiego Wybrzeże</v>
          </cell>
        </row>
        <row r="599">
          <cell r="H599" t="str">
            <v>Słowiańska</v>
          </cell>
        </row>
        <row r="600">
          <cell r="H600" t="str">
            <v>Słowiańska - plomba</v>
          </cell>
        </row>
        <row r="601">
          <cell r="H601" t="str">
            <v>Słowicza</v>
          </cell>
        </row>
        <row r="602">
          <cell r="H602" t="str">
            <v>Słubicka</v>
          </cell>
        </row>
        <row r="603">
          <cell r="H603" t="str">
            <v>Smocza</v>
          </cell>
        </row>
        <row r="604">
          <cell r="H604" t="str">
            <v>Smoluchowskiego</v>
          </cell>
        </row>
        <row r="605">
          <cell r="H605" t="str">
            <v>Sochaczewska</v>
          </cell>
        </row>
        <row r="606">
          <cell r="H606" t="str">
            <v>Sokola</v>
          </cell>
        </row>
        <row r="607">
          <cell r="H607" t="str">
            <v>Sokola\Ulanowskiego</v>
          </cell>
        </row>
        <row r="608">
          <cell r="H608" t="str">
            <v>Sokolnicza</v>
          </cell>
        </row>
        <row r="609">
          <cell r="H609" t="str">
            <v>Solny Pl.</v>
          </cell>
        </row>
        <row r="610">
          <cell r="H610" t="str">
            <v>Solskiego</v>
          </cell>
        </row>
        <row r="611">
          <cell r="H611" t="str">
            <v>Sołtysowicka</v>
          </cell>
        </row>
        <row r="612">
          <cell r="H612" t="str">
            <v>Sopocka</v>
          </cell>
        </row>
        <row r="613">
          <cell r="H613" t="str">
            <v>Sowia</v>
          </cell>
        </row>
        <row r="614">
          <cell r="H614" t="str">
            <v>Sowińskiego</v>
          </cell>
        </row>
        <row r="615">
          <cell r="H615" t="str">
            <v>Spadochroniarzy</v>
          </cell>
        </row>
        <row r="616">
          <cell r="H616" t="str">
            <v>Spiżowa</v>
          </cell>
        </row>
        <row r="617">
          <cell r="H617" t="str">
            <v>Spółdzielcza</v>
          </cell>
        </row>
        <row r="618">
          <cell r="H618" t="str">
            <v>Srebrny Pl.</v>
          </cell>
        </row>
        <row r="619">
          <cell r="H619" t="str">
            <v>Stabłowicka</v>
          </cell>
        </row>
        <row r="620">
          <cell r="H620" t="str">
            <v>Staffa</v>
          </cell>
        </row>
        <row r="621">
          <cell r="H621" t="str">
            <v>Stalowa</v>
          </cell>
        </row>
        <row r="622">
          <cell r="H622" t="str">
            <v>Stalowowolska</v>
          </cell>
        </row>
        <row r="623">
          <cell r="H623" t="str">
            <v>Stanisławowska</v>
          </cell>
        </row>
        <row r="624">
          <cell r="H624" t="str">
            <v>Stanisławskiego</v>
          </cell>
        </row>
        <row r="625">
          <cell r="H625" t="str">
            <v>Starobielawska</v>
          </cell>
        </row>
        <row r="626">
          <cell r="H626" t="str">
            <v>Starodworska</v>
          </cell>
        </row>
        <row r="627">
          <cell r="H627" t="str">
            <v>Starościńska</v>
          </cell>
        </row>
        <row r="628">
          <cell r="H628" t="str">
            <v>Staszica Pl.</v>
          </cell>
        </row>
        <row r="629">
          <cell r="H629" t="str">
            <v>Stawowa</v>
          </cell>
        </row>
        <row r="630">
          <cell r="H630" t="str">
            <v>Stefczyka</v>
          </cell>
        </row>
        <row r="631">
          <cell r="H631" t="str">
            <v>Stein Edyty</v>
          </cell>
        </row>
        <row r="632">
          <cell r="H632" t="str">
            <v>Stoczniowa</v>
          </cell>
        </row>
        <row r="633">
          <cell r="H633" t="str">
            <v>Stopnicka</v>
          </cell>
        </row>
        <row r="634">
          <cell r="H634" t="str">
            <v>Strachocińska</v>
          </cell>
        </row>
        <row r="635">
          <cell r="H635" t="str">
            <v>Strachowicka</v>
          </cell>
        </row>
        <row r="636">
          <cell r="H636" t="str">
            <v>Strachowskiego</v>
          </cell>
        </row>
        <row r="637">
          <cell r="H637" t="str">
            <v>Struga</v>
          </cell>
        </row>
        <row r="638">
          <cell r="H638" t="str">
            <v>Strzegomska</v>
          </cell>
        </row>
        <row r="639">
          <cell r="H639" t="str">
            <v>Strzelecki Pl.</v>
          </cell>
        </row>
        <row r="640">
          <cell r="H640" t="str">
            <v>Stysia</v>
          </cell>
        </row>
        <row r="641">
          <cell r="H641" t="str">
            <v>Suchardy</v>
          </cell>
        </row>
        <row r="642">
          <cell r="H642" t="str">
            <v>Sudecka</v>
          </cell>
        </row>
        <row r="643">
          <cell r="H643" t="str">
            <v>Sukiennice</v>
          </cell>
        </row>
        <row r="644">
          <cell r="H644" t="str">
            <v>Sulejowska</v>
          </cell>
        </row>
        <row r="645">
          <cell r="H645" t="str">
            <v>Swobodna</v>
          </cell>
        </row>
        <row r="646">
          <cell r="H646" t="str">
            <v>Swojczycka</v>
          </cell>
        </row>
        <row r="647">
          <cell r="H647" t="str">
            <v>Sycowska</v>
          </cell>
        </row>
        <row r="648">
          <cell r="H648" t="str">
            <v>Szajnochy</v>
          </cell>
        </row>
        <row r="649">
          <cell r="H649" t="str">
            <v>Szanieckiego</v>
          </cell>
        </row>
        <row r="650">
          <cell r="H650" t="str">
            <v>Szczecińska</v>
          </cell>
        </row>
        <row r="651">
          <cell r="H651" t="str">
            <v>Szczęśliwa</v>
          </cell>
        </row>
        <row r="652">
          <cell r="H652" t="str">
            <v>Szczygla</v>
          </cell>
        </row>
        <row r="653">
          <cell r="H653" t="str">
            <v>Szczyrki</v>
          </cell>
        </row>
        <row r="654">
          <cell r="H654" t="str">
            <v>Szczytnicka</v>
          </cell>
        </row>
        <row r="655">
          <cell r="H655" t="str">
            <v>Szewczenki</v>
          </cell>
        </row>
        <row r="656">
          <cell r="H656" t="str">
            <v>Szewska</v>
          </cell>
        </row>
        <row r="657">
          <cell r="H657" t="str">
            <v>Szklarska</v>
          </cell>
        </row>
        <row r="658">
          <cell r="H658" t="str">
            <v>Szpitalna</v>
          </cell>
        </row>
        <row r="659">
          <cell r="H659" t="str">
            <v>Sztabowa</v>
          </cell>
        </row>
        <row r="660">
          <cell r="H660" t="str">
            <v>Szymanowskiego</v>
          </cell>
        </row>
        <row r="661">
          <cell r="H661" t="str">
            <v>Ściegiennego</v>
          </cell>
        </row>
        <row r="662">
          <cell r="H662" t="str">
            <v>Ślężna</v>
          </cell>
        </row>
        <row r="663">
          <cell r="H663" t="str">
            <v>Ślężoujście</v>
          </cell>
        </row>
        <row r="664">
          <cell r="H664" t="str">
            <v>Śniadeckich</v>
          </cell>
        </row>
        <row r="665">
          <cell r="H665" t="str">
            <v>Śniegockiego</v>
          </cell>
        </row>
        <row r="666">
          <cell r="H666" t="str">
            <v>Średzka</v>
          </cell>
        </row>
        <row r="667">
          <cell r="H667" t="str">
            <v>Środkowa</v>
          </cell>
        </row>
        <row r="668">
          <cell r="H668" t="str">
            <v>Śrutowa</v>
          </cell>
        </row>
        <row r="669">
          <cell r="H669" t="str">
            <v>Świątnicka</v>
          </cell>
        </row>
        <row r="670">
          <cell r="H670" t="str">
            <v>Świdnicka</v>
          </cell>
        </row>
        <row r="671">
          <cell r="H671" t="str">
            <v>Świdnicka\Mennicza</v>
          </cell>
        </row>
        <row r="672">
          <cell r="H672" t="str">
            <v>Świdnicka\Of.Oświęcimskich</v>
          </cell>
        </row>
        <row r="673">
          <cell r="H673" t="str">
            <v>Świebodzka</v>
          </cell>
        </row>
        <row r="674">
          <cell r="H674" t="str">
            <v>Świeradowska</v>
          </cell>
        </row>
        <row r="675">
          <cell r="H675" t="str">
            <v>Świeża</v>
          </cell>
        </row>
        <row r="676">
          <cell r="H676" t="str">
            <v>Świętochowskiego</v>
          </cell>
        </row>
        <row r="677">
          <cell r="H677" t="str">
            <v>Świętokrzyska</v>
          </cell>
        </row>
        <row r="678">
          <cell r="H678" t="str">
            <v>Świstackiego</v>
          </cell>
        </row>
        <row r="679">
          <cell r="H679" t="str">
            <v>Tarnobrzeska</v>
          </cell>
        </row>
        <row r="680">
          <cell r="H680" t="str">
            <v>Tarnogajska</v>
          </cell>
        </row>
        <row r="681">
          <cell r="H681" t="str">
            <v>Tatarska</v>
          </cell>
        </row>
        <row r="682">
          <cell r="H682" t="str">
            <v>Tczewska</v>
          </cell>
        </row>
        <row r="683">
          <cell r="H683" t="str">
            <v>Terenowa</v>
          </cell>
        </row>
        <row r="684">
          <cell r="H684" t="str">
            <v>Tęczowa</v>
          </cell>
        </row>
        <row r="685">
          <cell r="H685" t="str">
            <v>Tkacka</v>
          </cell>
        </row>
        <row r="686">
          <cell r="H686" t="str">
            <v>Tomasza Biskupa I</v>
          </cell>
        </row>
        <row r="687">
          <cell r="H687" t="str">
            <v>Tomaszowska</v>
          </cell>
        </row>
        <row r="688">
          <cell r="H688" t="str">
            <v>Tomaszowska, Łódzka, Przestrzenna, Wesoła</v>
          </cell>
        </row>
        <row r="689">
          <cell r="H689" t="str">
            <v>Torfowa</v>
          </cell>
        </row>
        <row r="690">
          <cell r="H690" t="str">
            <v>Toruńska</v>
          </cell>
        </row>
        <row r="691">
          <cell r="H691" t="str">
            <v>Towarowa</v>
          </cell>
        </row>
        <row r="692">
          <cell r="H692" t="str">
            <v>Tramwajowa</v>
          </cell>
        </row>
        <row r="693">
          <cell r="H693" t="str">
            <v>Traugutta</v>
          </cell>
        </row>
        <row r="694">
          <cell r="H694" t="str">
            <v>Trawowa</v>
          </cell>
        </row>
        <row r="695">
          <cell r="H695" t="str">
            <v>Trzebnicka</v>
          </cell>
        </row>
        <row r="696">
          <cell r="H696" t="str">
            <v>Trzebowiańska</v>
          </cell>
        </row>
        <row r="697">
          <cell r="H697" t="str">
            <v>Trzmielowicka</v>
          </cell>
        </row>
        <row r="698">
          <cell r="H698" t="str">
            <v>Tuwima</v>
          </cell>
        </row>
        <row r="699">
          <cell r="H699" t="str">
            <v>Tylna</v>
          </cell>
        </row>
        <row r="700">
          <cell r="H700" t="str">
            <v>Tymiankowa</v>
          </cell>
        </row>
        <row r="701">
          <cell r="H701" t="str">
            <v>Tyska</v>
          </cell>
        </row>
        <row r="702">
          <cell r="H702" t="str">
            <v>Ujejskiego</v>
          </cell>
        </row>
        <row r="703">
          <cell r="H703" t="str">
            <v>Ukraińska</v>
          </cell>
        </row>
        <row r="704">
          <cell r="H704" t="str">
            <v>Ukryta</v>
          </cell>
        </row>
        <row r="705">
          <cell r="H705" t="str">
            <v>Ulanowskiego</v>
          </cell>
        </row>
        <row r="706">
          <cell r="H706" t="str">
            <v>Uniwersytecka</v>
          </cell>
        </row>
        <row r="707">
          <cell r="H707" t="str">
            <v>Uniwersytecki Pl.</v>
          </cell>
        </row>
        <row r="708">
          <cell r="H708" t="str">
            <v>Urbańskiego</v>
          </cell>
        </row>
        <row r="709">
          <cell r="H709" t="str">
            <v>Ustronie</v>
          </cell>
        </row>
        <row r="710">
          <cell r="H710" t="str">
            <v>Waflowa</v>
          </cell>
        </row>
        <row r="711">
          <cell r="H711" t="str">
            <v>Wagonowa</v>
          </cell>
        </row>
        <row r="712">
          <cell r="H712" t="str">
            <v>Walecznych</v>
          </cell>
        </row>
        <row r="713">
          <cell r="H713" t="str">
            <v>Walecznych\Prusa</v>
          </cell>
        </row>
        <row r="714">
          <cell r="H714" t="str">
            <v>Walecznych\Prusa\Reja</v>
          </cell>
        </row>
        <row r="715">
          <cell r="H715" t="str">
            <v>Walecznych\Reja</v>
          </cell>
        </row>
        <row r="716">
          <cell r="H716" t="str">
            <v>Wałbrzyska</v>
          </cell>
        </row>
        <row r="717">
          <cell r="H717" t="str">
            <v>Wandy</v>
          </cell>
        </row>
        <row r="718">
          <cell r="H718" t="str">
            <v>Wapienna</v>
          </cell>
        </row>
        <row r="719">
          <cell r="H719" t="str">
            <v>Wapienna\Św.Jerzego</v>
          </cell>
        </row>
        <row r="720">
          <cell r="H720" t="str">
            <v>Warszawska</v>
          </cell>
        </row>
        <row r="721">
          <cell r="H721" t="str">
            <v>Waryńskiego</v>
          </cell>
        </row>
        <row r="722">
          <cell r="H722" t="str">
            <v>Wawrzyniaka</v>
          </cell>
        </row>
        <row r="723">
          <cell r="H723" t="str">
            <v>Wąska</v>
          </cell>
        </row>
        <row r="724">
          <cell r="H724" t="str">
            <v>Wejherowska</v>
          </cell>
        </row>
        <row r="725">
          <cell r="H725" t="str">
            <v>Wełniana</v>
          </cell>
        </row>
        <row r="726">
          <cell r="H726" t="str">
            <v>Wesoła</v>
          </cell>
        </row>
        <row r="727">
          <cell r="H727" t="str">
            <v>Wesołowskiego</v>
          </cell>
        </row>
        <row r="728">
          <cell r="H728" t="str">
            <v>Westerplatte</v>
          </cell>
        </row>
        <row r="729">
          <cell r="H729" t="str">
            <v>Wędkarzy</v>
          </cell>
        </row>
        <row r="730">
          <cell r="H730" t="str">
            <v>Węgierska</v>
          </cell>
        </row>
        <row r="731">
          <cell r="H731" t="str">
            <v>Węgoborska</v>
          </cell>
        </row>
        <row r="732">
          <cell r="H732" t="str">
            <v>Widna</v>
          </cell>
        </row>
        <row r="733">
          <cell r="H733" t="str">
            <v>Widok</v>
          </cell>
        </row>
        <row r="734">
          <cell r="H734" t="str">
            <v>Wieczorna</v>
          </cell>
        </row>
        <row r="735">
          <cell r="H735" t="str">
            <v>Wieczorna 22-Południowa</v>
          </cell>
        </row>
        <row r="736">
          <cell r="H736" t="str">
            <v>Wieczysta</v>
          </cell>
        </row>
        <row r="737">
          <cell r="H737" t="str">
            <v>Wieczysta\Widna</v>
          </cell>
        </row>
        <row r="738">
          <cell r="H738" t="str">
            <v>Wiejska</v>
          </cell>
        </row>
        <row r="739">
          <cell r="H739" t="str">
            <v>Wielka</v>
          </cell>
        </row>
        <row r="740">
          <cell r="H740" t="str">
            <v>Wielkopolska</v>
          </cell>
        </row>
        <row r="741">
          <cell r="H741" t="str">
            <v>Wieniawskiego</v>
          </cell>
        </row>
        <row r="742">
          <cell r="H742" t="str">
            <v>Wierzbowa</v>
          </cell>
        </row>
        <row r="743">
          <cell r="H743" t="str">
            <v>Wieśniacza</v>
          </cell>
        </row>
        <row r="744">
          <cell r="H744" t="str">
            <v>Wietnamska</v>
          </cell>
        </row>
        <row r="745">
          <cell r="H745" t="str">
            <v>Więckowskiego</v>
          </cell>
        </row>
        <row r="746">
          <cell r="H746" t="str">
            <v>Więckowskiego\Kościuszki</v>
          </cell>
        </row>
        <row r="747">
          <cell r="H747" t="str">
            <v>Więzienna</v>
          </cell>
        </row>
        <row r="748">
          <cell r="H748" t="str">
            <v>Wilcza</v>
          </cell>
        </row>
        <row r="749">
          <cell r="H749" t="str">
            <v>Wileńska</v>
          </cell>
        </row>
        <row r="750">
          <cell r="H750" t="str">
            <v>Wilgowa</v>
          </cell>
        </row>
        <row r="751">
          <cell r="H751" t="str">
            <v>Wilkszyńska</v>
          </cell>
        </row>
        <row r="752">
          <cell r="H752" t="str">
            <v>Wincentego Św.</v>
          </cell>
        </row>
        <row r="753">
          <cell r="H753" t="str">
            <v>Wiosenna</v>
          </cell>
        </row>
        <row r="754">
          <cell r="H754" t="str">
            <v>Wiśniowa Al.</v>
          </cell>
        </row>
        <row r="755">
          <cell r="H755" t="str">
            <v>Wita Stwosza</v>
          </cell>
        </row>
        <row r="756">
          <cell r="H756" t="str">
            <v>Witelona</v>
          </cell>
        </row>
        <row r="757">
          <cell r="H757" t="str">
            <v>Wittiga</v>
          </cell>
        </row>
        <row r="758">
          <cell r="H758" t="str">
            <v>Włodarska</v>
          </cell>
        </row>
        <row r="759">
          <cell r="H759" t="str">
            <v>Włodkowica</v>
          </cell>
        </row>
        <row r="760">
          <cell r="H760" t="str">
            <v>Włościańska</v>
          </cell>
        </row>
        <row r="761">
          <cell r="H761" t="str">
            <v>Wojrowicka</v>
          </cell>
        </row>
        <row r="762">
          <cell r="H762" t="str">
            <v>Wojtkiewicza</v>
          </cell>
        </row>
        <row r="763">
          <cell r="H763" t="str">
            <v>Wolbromska</v>
          </cell>
        </row>
        <row r="764">
          <cell r="H764" t="str">
            <v>Wolności Pl.</v>
          </cell>
        </row>
        <row r="765">
          <cell r="H765" t="str">
            <v>Wolska</v>
          </cell>
        </row>
        <row r="766">
          <cell r="H766" t="str">
            <v>Worcella</v>
          </cell>
        </row>
        <row r="767">
          <cell r="H767" t="str">
            <v>Wrocławczyka</v>
          </cell>
        </row>
        <row r="768">
          <cell r="H768" t="str">
            <v>Wrońskiego</v>
          </cell>
        </row>
        <row r="769">
          <cell r="H769" t="str">
            <v>Wróblewskiego</v>
          </cell>
        </row>
        <row r="770">
          <cell r="H770" t="str">
            <v>Wschowska</v>
          </cell>
        </row>
        <row r="771">
          <cell r="H771" t="str">
            <v>Wyboista</v>
          </cell>
        </row>
        <row r="772">
          <cell r="H772" t="str">
            <v>Wygodna</v>
          </cell>
        </row>
        <row r="773">
          <cell r="H773" t="str">
            <v>Wysłoucha</v>
          </cell>
        </row>
        <row r="774">
          <cell r="H774" t="str">
            <v>Wysockiego</v>
          </cell>
        </row>
        <row r="775">
          <cell r="H775" t="str">
            <v>Wysoka</v>
          </cell>
        </row>
        <row r="776">
          <cell r="H776" t="str">
            <v>Wyspa Słodowa</v>
          </cell>
        </row>
        <row r="777">
          <cell r="H777" t="str">
            <v>Wyspiańskiego Wybrzeże</v>
          </cell>
        </row>
        <row r="778">
          <cell r="H778" t="str">
            <v>Wyszyńskiego</v>
          </cell>
        </row>
        <row r="779">
          <cell r="H779" t="str">
            <v>Wyszyńskiego - parking</v>
          </cell>
        </row>
        <row r="780">
          <cell r="H780" t="str">
            <v>Wyzwolenia Pl.</v>
          </cell>
        </row>
        <row r="781">
          <cell r="H781" t="str">
            <v>Zabrodzka</v>
          </cell>
        </row>
        <row r="782">
          <cell r="H782" t="str">
            <v>Zachodnia</v>
          </cell>
        </row>
        <row r="783">
          <cell r="H783" t="str">
            <v>Zagrodnicza</v>
          </cell>
        </row>
        <row r="784">
          <cell r="H784" t="str">
            <v>Zajączkowska</v>
          </cell>
        </row>
        <row r="785">
          <cell r="H785" t="str">
            <v>Zakładowa</v>
          </cell>
        </row>
        <row r="786">
          <cell r="H786" t="str">
            <v>Zaolziańska</v>
          </cell>
        </row>
        <row r="787">
          <cell r="H787" t="str">
            <v>Zaporoska</v>
          </cell>
        </row>
        <row r="788">
          <cell r="H788" t="str">
            <v>Zatorska</v>
          </cell>
        </row>
        <row r="789">
          <cell r="H789" t="str">
            <v>Zaułek Rogoziński</v>
          </cell>
        </row>
        <row r="790">
          <cell r="H790" t="str">
            <v>Zawierciańska</v>
          </cell>
        </row>
        <row r="791">
          <cell r="H791" t="str">
            <v>Ząbkowicka</v>
          </cell>
        </row>
        <row r="792">
          <cell r="H792" t="str">
            <v>Zduńska</v>
          </cell>
        </row>
        <row r="793">
          <cell r="H793" t="str">
            <v>Zegadłowicza</v>
          </cell>
        </row>
        <row r="794">
          <cell r="H794" t="str">
            <v>Zegadłowicza\Kraszewskiego</v>
          </cell>
        </row>
        <row r="795">
          <cell r="H795" t="str">
            <v>Zelwerowicza</v>
          </cell>
        </row>
        <row r="796">
          <cell r="H796" t="str">
            <v>Zgodna</v>
          </cell>
        </row>
        <row r="797">
          <cell r="H797" t="str">
            <v>Zgody Pl.</v>
          </cell>
        </row>
        <row r="798">
          <cell r="H798" t="str">
            <v>Zielińskiego</v>
          </cell>
        </row>
        <row r="799">
          <cell r="H799" t="str">
            <v>Zielińskiego\Piłsudskiego</v>
          </cell>
        </row>
        <row r="800">
          <cell r="H800" t="str">
            <v>Zielonogórska</v>
          </cell>
        </row>
        <row r="801">
          <cell r="H801" t="str">
            <v>Ziemniaczana</v>
          </cell>
        </row>
        <row r="802">
          <cell r="H802" t="str">
            <v>Ziębicka</v>
          </cell>
        </row>
        <row r="803">
          <cell r="H803" t="str">
            <v>Złotnicka</v>
          </cell>
        </row>
        <row r="804">
          <cell r="H804" t="str">
            <v>Złotnicka\Wielkopolska 16</v>
          </cell>
        </row>
        <row r="805">
          <cell r="H805" t="str">
            <v>Złotostocka</v>
          </cell>
        </row>
        <row r="806">
          <cell r="H806" t="str">
            <v>Zwycięska</v>
          </cell>
        </row>
        <row r="807">
          <cell r="H807" t="str">
            <v>Zyndrama</v>
          </cell>
        </row>
        <row r="808">
          <cell r="H808" t="str">
            <v>Żagańska</v>
          </cell>
        </row>
        <row r="809">
          <cell r="H809" t="str">
            <v>Żegiestowska</v>
          </cell>
        </row>
        <row r="810">
          <cell r="H810" t="str">
            <v>Żeglarska</v>
          </cell>
        </row>
        <row r="811">
          <cell r="H811" t="str">
            <v>Żelazna</v>
          </cell>
        </row>
        <row r="812">
          <cell r="H812" t="str">
            <v>Żernicka</v>
          </cell>
        </row>
        <row r="813">
          <cell r="H813" t="str">
            <v>Żeromskiego</v>
          </cell>
        </row>
        <row r="814">
          <cell r="H814" t="str">
            <v>Żiżki</v>
          </cell>
        </row>
        <row r="815">
          <cell r="H815" t="str">
            <v>Żmichowskiej</v>
          </cell>
        </row>
        <row r="816">
          <cell r="H816" t="str">
            <v>Żmigrodzka</v>
          </cell>
        </row>
        <row r="817">
          <cell r="H817" t="str">
            <v>Żołnierska</v>
          </cell>
        </row>
        <row r="818">
          <cell r="H818" t="str">
            <v>Żwirowa</v>
          </cell>
        </row>
        <row r="819">
          <cell r="H819" t="str">
            <v>Żytnia</v>
          </cell>
        </row>
        <row r="820">
          <cell r="H820" t="str">
            <v>Żywiecka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IC426"/>
  <sheetViews>
    <sheetView tabSelected="1" view="pageLayout" topLeftCell="A338" zoomScaleNormal="100" zoomScaleSheetLayoutView="100" workbookViewId="0">
      <selection activeCell="N347" sqref="N347:N350"/>
    </sheetView>
  </sheetViews>
  <sheetFormatPr defaultRowHeight="12.75"/>
  <cols>
    <col min="1" max="1" width="4.140625" customWidth="1"/>
    <col min="2" max="2" width="43.42578125" customWidth="1"/>
    <col min="3" max="3" width="9.42578125" customWidth="1"/>
    <col min="4" max="4" width="10.28515625" customWidth="1"/>
    <col min="5" max="5" width="9.140625" hidden="1" customWidth="1"/>
    <col min="6" max="6" width="9.140625" customWidth="1"/>
    <col min="7" max="7" width="9.140625" hidden="1" customWidth="1"/>
    <col min="8" max="9" width="9.140625" customWidth="1"/>
    <col min="10" max="10" width="9.140625" hidden="1" customWidth="1"/>
    <col min="14" max="14" width="9.28515625" bestFit="1" customWidth="1"/>
    <col min="16" max="16" width="9.5703125" hidden="1" customWidth="1"/>
    <col min="17" max="17" width="8.140625" customWidth="1"/>
  </cols>
  <sheetData>
    <row r="1" spans="1:237" ht="6" customHeight="1">
      <c r="M1">
        <v>2</v>
      </c>
      <c r="N1" s="96"/>
      <c r="O1" s="97"/>
      <c r="P1" s="97"/>
      <c r="Q1" s="97"/>
    </row>
    <row r="2" spans="1:237" ht="16.5" customHeight="1">
      <c r="A2" s="98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237" s="1" customFormat="1" ht="13.15" customHeight="1">
      <c r="A3" s="100" t="s">
        <v>1</v>
      </c>
      <c r="B3" s="100" t="s">
        <v>2</v>
      </c>
      <c r="C3" s="100" t="s">
        <v>3</v>
      </c>
      <c r="D3" s="100" t="s">
        <v>4</v>
      </c>
      <c r="E3" s="102" t="s">
        <v>5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237" s="1" customFormat="1" ht="24" customHeight="1">
      <c r="A4" s="101"/>
      <c r="B4" s="101"/>
      <c r="C4" s="101"/>
      <c r="D4" s="101"/>
      <c r="E4" s="2" t="s">
        <v>6</v>
      </c>
      <c r="F4" s="3" t="s">
        <v>7</v>
      </c>
      <c r="G4" s="4" t="s">
        <v>8</v>
      </c>
      <c r="H4" s="3" t="s">
        <v>9</v>
      </c>
      <c r="I4" s="3" t="s">
        <v>10</v>
      </c>
      <c r="J4" s="3">
        <v>2014</v>
      </c>
      <c r="K4" s="3">
        <v>2015</v>
      </c>
      <c r="L4" s="3">
        <v>2016</v>
      </c>
      <c r="M4" s="3">
        <v>2017</v>
      </c>
      <c r="N4" s="3">
        <v>2018</v>
      </c>
      <c r="O4" s="3">
        <v>2019</v>
      </c>
      <c r="P4" s="3">
        <v>2020</v>
      </c>
      <c r="Q4" s="3" t="s">
        <v>11</v>
      </c>
    </row>
    <row r="5" spans="1:237" s="1" customFormat="1">
      <c r="A5" s="5" t="s">
        <v>12</v>
      </c>
      <c r="B5" s="5" t="s">
        <v>13</v>
      </c>
      <c r="C5" s="5" t="s">
        <v>14</v>
      </c>
      <c r="D5" s="5" t="s">
        <v>15</v>
      </c>
      <c r="E5" s="2"/>
      <c r="F5" s="5" t="s">
        <v>16</v>
      </c>
      <c r="G5" s="6"/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  <c r="N5" s="5" t="s">
        <v>22</v>
      </c>
      <c r="O5" s="5" t="s">
        <v>23</v>
      </c>
      <c r="P5" s="5"/>
      <c r="Q5" s="5" t="s">
        <v>24</v>
      </c>
    </row>
    <row r="6" spans="1:237" s="7" customFormat="1" ht="17.25" customHeight="1">
      <c r="A6" s="105" t="s">
        <v>25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237" s="16" customFormat="1" ht="48" customHeight="1">
      <c r="A7" s="8">
        <v>1</v>
      </c>
      <c r="B7" s="9" t="s">
        <v>26</v>
      </c>
      <c r="C7" s="10" t="s">
        <v>27</v>
      </c>
      <c r="D7" s="11" t="s">
        <v>28</v>
      </c>
      <c r="E7" s="12">
        <f>F7-F9</f>
        <v>314088.55900000001</v>
      </c>
      <c r="F7" s="13">
        <f t="shared" ref="F7:F73" si="0">G7+I7+J7+Q7</f>
        <v>314556.55900000001</v>
      </c>
      <c r="G7" s="14">
        <f>G8+G9</f>
        <v>75377.472999999998</v>
      </c>
      <c r="H7" s="15">
        <f t="shared" ref="H7:H17" si="1">G7+J7</f>
        <v>88290.877999999997</v>
      </c>
      <c r="I7" s="14">
        <f t="shared" ref="I7:I59" si="2">SUM(K7:O7)</f>
        <v>77569.481</v>
      </c>
      <c r="J7" s="13">
        <f t="shared" ref="J7:Q7" si="3">SUM(J8:J9)</f>
        <v>12913.405000000001</v>
      </c>
      <c r="K7" s="13">
        <f t="shared" si="3"/>
        <v>13837.707</v>
      </c>
      <c r="L7" s="13">
        <f t="shared" si="3"/>
        <v>19343.439999999999</v>
      </c>
      <c r="M7" s="13">
        <f t="shared" si="3"/>
        <v>14382.15</v>
      </c>
      <c r="N7" s="13">
        <f t="shared" si="3"/>
        <v>14811.815000000001</v>
      </c>
      <c r="O7" s="13">
        <f t="shared" si="3"/>
        <v>15194.369000000001</v>
      </c>
      <c r="P7" s="13">
        <f t="shared" si="3"/>
        <v>30433.097999999998</v>
      </c>
      <c r="Q7" s="13">
        <f t="shared" si="3"/>
        <v>148696.20000000001</v>
      </c>
    </row>
    <row r="8" spans="1:237" s="16" customFormat="1" ht="12" customHeight="1">
      <c r="A8" s="17"/>
      <c r="B8" s="18" t="s">
        <v>29</v>
      </c>
      <c r="C8" s="19"/>
      <c r="D8" s="20"/>
      <c r="E8" s="21"/>
      <c r="F8" s="22">
        <f t="shared" si="0"/>
        <v>314088.55900000001</v>
      </c>
      <c r="G8" s="23">
        <v>74909.472999999998</v>
      </c>
      <c r="H8" s="22">
        <f t="shared" si="1"/>
        <v>87822.877999999997</v>
      </c>
      <c r="I8" s="22">
        <f t="shared" si="2"/>
        <v>77569.481</v>
      </c>
      <c r="J8" s="22">
        <v>12913.405000000001</v>
      </c>
      <c r="K8" s="22">
        <v>13837.707</v>
      </c>
      <c r="L8" s="24">
        <f>18547+500+34.44+212+50</f>
        <v>19343.439999999999</v>
      </c>
      <c r="M8" s="22">
        <v>14382.15</v>
      </c>
      <c r="N8" s="22">
        <v>14811.815000000001</v>
      </c>
      <c r="O8" s="22">
        <f>15194.369</f>
        <v>15194.369000000001</v>
      </c>
      <c r="P8" s="22">
        <f>15650.2+14782.898</f>
        <v>30433.097999999998</v>
      </c>
      <c r="Q8" s="22">
        <f>15650.2+133046</f>
        <v>148696.20000000001</v>
      </c>
    </row>
    <row r="9" spans="1:237" s="7" customFormat="1" ht="12" customHeight="1">
      <c r="A9" s="17"/>
      <c r="B9" s="18" t="s">
        <v>30</v>
      </c>
      <c r="C9" s="19"/>
      <c r="D9" s="20"/>
      <c r="E9" s="21"/>
      <c r="F9" s="22">
        <f t="shared" si="0"/>
        <v>468</v>
      </c>
      <c r="G9" s="23">
        <v>468</v>
      </c>
      <c r="H9" s="22">
        <f t="shared" si="1"/>
        <v>468</v>
      </c>
      <c r="I9" s="22">
        <f t="shared" si="2"/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f>SUM(N9:N9)</f>
        <v>0</v>
      </c>
    </row>
    <row r="10" spans="1:237" s="16" customFormat="1" ht="23.45" customHeight="1">
      <c r="A10" s="25">
        <v>2</v>
      </c>
      <c r="B10" s="26" t="s">
        <v>31</v>
      </c>
      <c r="C10" s="27" t="s">
        <v>32</v>
      </c>
      <c r="D10" s="28" t="s">
        <v>33</v>
      </c>
      <c r="E10" s="29">
        <f>F10</f>
        <v>26861</v>
      </c>
      <c r="F10" s="30">
        <f t="shared" si="0"/>
        <v>26861</v>
      </c>
      <c r="G10" s="31">
        <f>G11</f>
        <v>0</v>
      </c>
      <c r="H10" s="31">
        <f t="shared" si="1"/>
        <v>0</v>
      </c>
      <c r="I10" s="30">
        <f t="shared" si="2"/>
        <v>23491</v>
      </c>
      <c r="J10" s="30">
        <f t="shared" ref="J10:Q10" si="4">J11</f>
        <v>0</v>
      </c>
      <c r="K10" s="30">
        <f t="shared" si="4"/>
        <v>4123</v>
      </c>
      <c r="L10" s="30">
        <f t="shared" si="4"/>
        <v>10388</v>
      </c>
      <c r="M10" s="30">
        <f t="shared" si="4"/>
        <v>4980</v>
      </c>
      <c r="N10" s="30">
        <f t="shared" si="4"/>
        <v>1400</v>
      </c>
      <c r="O10" s="30">
        <f t="shared" si="4"/>
        <v>2600</v>
      </c>
      <c r="P10" s="30">
        <f t="shared" si="4"/>
        <v>0</v>
      </c>
      <c r="Q10" s="30">
        <f t="shared" si="4"/>
        <v>3370</v>
      </c>
      <c r="IB10" s="32"/>
      <c r="IC10" s="33"/>
    </row>
    <row r="11" spans="1:237" s="16" customFormat="1" ht="11.45" customHeight="1">
      <c r="A11" s="17"/>
      <c r="B11" s="18" t="s">
        <v>29</v>
      </c>
      <c r="C11" s="19"/>
      <c r="D11" s="20"/>
      <c r="E11" s="21"/>
      <c r="F11" s="22">
        <f t="shared" si="0"/>
        <v>26861</v>
      </c>
      <c r="G11" s="23">
        <v>0</v>
      </c>
      <c r="H11" s="22">
        <f t="shared" si="1"/>
        <v>0</v>
      </c>
      <c r="I11" s="22">
        <f t="shared" si="2"/>
        <v>23491</v>
      </c>
      <c r="J11" s="22">
        <v>0</v>
      </c>
      <c r="K11" s="22">
        <v>4123</v>
      </c>
      <c r="L11" s="24">
        <f>9145+1000+120+123</f>
        <v>10388</v>
      </c>
      <c r="M11" s="34">
        <v>4980</v>
      </c>
      <c r="N11" s="22">
        <v>1400</v>
      </c>
      <c r="O11" s="22">
        <v>2600</v>
      </c>
      <c r="P11" s="22">
        <v>0</v>
      </c>
      <c r="Q11" s="22">
        <v>3370</v>
      </c>
      <c r="IB11" s="35"/>
      <c r="IC11" s="36"/>
    </row>
    <row r="12" spans="1:237" s="16" customFormat="1" ht="22.15" customHeight="1">
      <c r="A12" s="25">
        <v>3</v>
      </c>
      <c r="B12" s="37" t="s">
        <v>34</v>
      </c>
      <c r="C12" s="27" t="s">
        <v>35</v>
      </c>
      <c r="D12" s="28" t="s">
        <v>36</v>
      </c>
      <c r="E12" s="29">
        <f>F12-F14</f>
        <v>16743.235000000001</v>
      </c>
      <c r="F12" s="30">
        <f t="shared" si="0"/>
        <v>17243.235000000001</v>
      </c>
      <c r="G12" s="31">
        <f>G13+G14</f>
        <v>13511.235000000001</v>
      </c>
      <c r="H12" s="31">
        <f t="shared" si="1"/>
        <v>15894.235000000001</v>
      </c>
      <c r="I12" s="30">
        <f t="shared" si="2"/>
        <v>1349</v>
      </c>
      <c r="J12" s="30">
        <f t="shared" ref="J12:Q12" si="5">SUM(J13:J14)</f>
        <v>2383</v>
      </c>
      <c r="K12" s="30">
        <f t="shared" si="5"/>
        <v>1349</v>
      </c>
      <c r="L12" s="30">
        <f t="shared" si="5"/>
        <v>0</v>
      </c>
      <c r="M12" s="30">
        <f t="shared" si="5"/>
        <v>0</v>
      </c>
      <c r="N12" s="30">
        <f t="shared" si="5"/>
        <v>0</v>
      </c>
      <c r="O12" s="30">
        <f t="shared" si="5"/>
        <v>0</v>
      </c>
      <c r="P12" s="30">
        <f t="shared" si="5"/>
        <v>0</v>
      </c>
      <c r="Q12" s="30">
        <f t="shared" si="5"/>
        <v>0</v>
      </c>
    </row>
    <row r="13" spans="1:237" s="16" customFormat="1" ht="11.25">
      <c r="A13" s="17"/>
      <c r="B13" s="18" t="s">
        <v>29</v>
      </c>
      <c r="C13" s="19"/>
      <c r="D13" s="20"/>
      <c r="E13" s="21"/>
      <c r="F13" s="22">
        <f t="shared" si="0"/>
        <v>16743.235000000001</v>
      </c>
      <c r="G13" s="23">
        <v>13011.235000000001</v>
      </c>
      <c r="H13" s="22">
        <f t="shared" si="1"/>
        <v>15394.235000000001</v>
      </c>
      <c r="I13" s="22">
        <f t="shared" si="2"/>
        <v>1349</v>
      </c>
      <c r="J13" s="22">
        <v>2383</v>
      </c>
      <c r="K13" s="22">
        <v>1349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</row>
    <row r="14" spans="1:237" s="16" customFormat="1" ht="12" customHeight="1">
      <c r="A14" s="17"/>
      <c r="B14" s="18" t="s">
        <v>37</v>
      </c>
      <c r="C14" s="19"/>
      <c r="D14" s="20"/>
      <c r="E14" s="21"/>
      <c r="F14" s="22">
        <f t="shared" si="0"/>
        <v>500</v>
      </c>
      <c r="G14" s="23">
        <v>500</v>
      </c>
      <c r="H14" s="22">
        <f t="shared" si="1"/>
        <v>500</v>
      </c>
      <c r="I14" s="22">
        <f t="shared" si="2"/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f>SUM(N14:N14)</f>
        <v>0</v>
      </c>
    </row>
    <row r="15" spans="1:237" s="16" customFormat="1" ht="36" customHeight="1">
      <c r="A15" s="25">
        <v>4</v>
      </c>
      <c r="B15" s="38" t="s">
        <v>38</v>
      </c>
      <c r="C15" s="27" t="s">
        <v>39</v>
      </c>
      <c r="D15" s="28" t="s">
        <v>40</v>
      </c>
      <c r="E15" s="29">
        <f>F16+F17</f>
        <v>127262.731</v>
      </c>
      <c r="F15" s="30">
        <f t="shared" si="0"/>
        <v>131211.68400000001</v>
      </c>
      <c r="G15" s="31">
        <f>G16+G17</f>
        <v>10035.272000000001</v>
      </c>
      <c r="H15" s="31">
        <f t="shared" si="1"/>
        <v>13016.748000000001</v>
      </c>
      <c r="I15" s="30">
        <f t="shared" si="2"/>
        <v>108394.936</v>
      </c>
      <c r="J15" s="30">
        <f>SUM(J16:J17)</f>
        <v>2981.4760000000001</v>
      </c>
      <c r="K15" s="30">
        <f t="shared" ref="K15:Q15" si="6">SUM(K16:K18)</f>
        <v>20401.936000000002</v>
      </c>
      <c r="L15" s="30">
        <f t="shared" si="6"/>
        <v>24138</v>
      </c>
      <c r="M15" s="30">
        <f t="shared" si="6"/>
        <v>17439</v>
      </c>
      <c r="N15" s="30">
        <f t="shared" si="6"/>
        <v>22720</v>
      </c>
      <c r="O15" s="30">
        <f t="shared" si="6"/>
        <v>23696</v>
      </c>
      <c r="P15" s="30">
        <f t="shared" si="6"/>
        <v>9800</v>
      </c>
      <c r="Q15" s="30">
        <f t="shared" si="6"/>
        <v>9800</v>
      </c>
    </row>
    <row r="16" spans="1:237" s="16" customFormat="1" ht="12" customHeight="1">
      <c r="A16" s="17"/>
      <c r="B16" s="18" t="s">
        <v>29</v>
      </c>
      <c r="C16" s="19"/>
      <c r="D16" s="20"/>
      <c r="E16" s="21"/>
      <c r="F16" s="22">
        <f t="shared" si="0"/>
        <v>105913.731</v>
      </c>
      <c r="G16" s="23">
        <v>10035.272000000001</v>
      </c>
      <c r="H16" s="22">
        <f t="shared" si="1"/>
        <v>13016.748000000001</v>
      </c>
      <c r="I16" s="22">
        <f t="shared" si="2"/>
        <v>83096.983000000007</v>
      </c>
      <c r="J16" s="22">
        <v>2981.4760000000001</v>
      </c>
      <c r="K16" s="22">
        <f>15887.983+565</f>
        <v>16452.983</v>
      </c>
      <c r="L16" s="24">
        <v>16099</v>
      </c>
      <c r="M16" s="22">
        <f>16459-1060</f>
        <v>15399</v>
      </c>
      <c r="N16" s="22">
        <v>17470</v>
      </c>
      <c r="O16" s="22">
        <v>17676</v>
      </c>
      <c r="P16" s="22">
        <v>9800</v>
      </c>
      <c r="Q16" s="22">
        <v>9800</v>
      </c>
    </row>
    <row r="17" spans="1:17" s="16" customFormat="1" ht="12" customHeight="1">
      <c r="A17" s="17"/>
      <c r="B17" s="18" t="s">
        <v>41</v>
      </c>
      <c r="C17" s="19"/>
      <c r="D17" s="20"/>
      <c r="E17" s="21"/>
      <c r="F17" s="22">
        <f t="shared" si="0"/>
        <v>21349</v>
      </c>
      <c r="G17" s="23">
        <v>0</v>
      </c>
      <c r="H17" s="22">
        <f t="shared" si="1"/>
        <v>0</v>
      </c>
      <c r="I17" s="22">
        <f t="shared" si="2"/>
        <v>21349</v>
      </c>
      <c r="J17" s="22">
        <v>0</v>
      </c>
      <c r="K17" s="22">
        <v>0</v>
      </c>
      <c r="L17" s="22">
        <v>8039</v>
      </c>
      <c r="M17" s="22">
        <v>2040</v>
      </c>
      <c r="N17" s="22">
        <v>5250</v>
      </c>
      <c r="O17" s="22">
        <v>6020</v>
      </c>
      <c r="P17" s="22">
        <v>0</v>
      </c>
      <c r="Q17" s="22">
        <v>0</v>
      </c>
    </row>
    <row r="18" spans="1:17" s="16" customFormat="1" ht="12" customHeight="1">
      <c r="A18" s="17"/>
      <c r="B18" s="39" t="s">
        <v>30</v>
      </c>
      <c r="C18" s="19"/>
      <c r="D18" s="20"/>
      <c r="E18" s="21"/>
      <c r="F18" s="22">
        <f t="shared" si="0"/>
        <v>3948.953</v>
      </c>
      <c r="G18" s="23">
        <v>0</v>
      </c>
      <c r="H18" s="22">
        <v>0</v>
      </c>
      <c r="I18" s="22">
        <f>SUM(K18:O18)</f>
        <v>3948.953</v>
      </c>
      <c r="J18" s="22">
        <v>0</v>
      </c>
      <c r="K18" s="22">
        <v>3948.953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</row>
    <row r="19" spans="1:17" s="16" customFormat="1" ht="23.45" customHeight="1">
      <c r="A19" s="25">
        <v>5</v>
      </c>
      <c r="B19" s="26" t="s">
        <v>42</v>
      </c>
      <c r="C19" s="27" t="s">
        <v>43</v>
      </c>
      <c r="D19" s="28" t="s">
        <v>44</v>
      </c>
      <c r="E19" s="29">
        <f>F19-F21</f>
        <v>40186.827000000005</v>
      </c>
      <c r="F19" s="30">
        <f t="shared" si="0"/>
        <v>45016.031000000003</v>
      </c>
      <c r="G19" s="31">
        <f>G20+G21</f>
        <v>18829.849000000002</v>
      </c>
      <c r="H19" s="31">
        <f t="shared" ref="H19:H51" si="7">G19+J19</f>
        <v>40983.199000000001</v>
      </c>
      <c r="I19" s="30">
        <f t="shared" si="2"/>
        <v>4032.8319999999999</v>
      </c>
      <c r="J19" s="30">
        <f t="shared" ref="J19:Q19" si="8">SUM(J20:J21)</f>
        <v>22153.35</v>
      </c>
      <c r="K19" s="30">
        <f t="shared" si="8"/>
        <v>4032.8319999999999</v>
      </c>
      <c r="L19" s="30">
        <f t="shared" si="8"/>
        <v>0</v>
      </c>
      <c r="M19" s="30">
        <f t="shared" si="8"/>
        <v>0</v>
      </c>
      <c r="N19" s="30">
        <f t="shared" si="8"/>
        <v>0</v>
      </c>
      <c r="O19" s="30">
        <f t="shared" si="8"/>
        <v>0</v>
      </c>
      <c r="P19" s="30">
        <f t="shared" si="8"/>
        <v>0</v>
      </c>
      <c r="Q19" s="30">
        <f t="shared" si="8"/>
        <v>0</v>
      </c>
    </row>
    <row r="20" spans="1:17" s="16" customFormat="1" ht="12" customHeight="1">
      <c r="A20" s="40"/>
      <c r="B20" s="18" t="s">
        <v>29</v>
      </c>
      <c r="C20" s="19"/>
      <c r="D20" s="20"/>
      <c r="E20" s="21"/>
      <c r="F20" s="22">
        <f t="shared" si="0"/>
        <v>40186.826999999997</v>
      </c>
      <c r="G20" s="23">
        <v>14000.645</v>
      </c>
      <c r="H20" s="22">
        <f t="shared" si="7"/>
        <v>36153.994999999995</v>
      </c>
      <c r="I20" s="22">
        <f t="shared" si="2"/>
        <v>4032.8319999999999</v>
      </c>
      <c r="J20" s="22">
        <v>22153.35</v>
      </c>
      <c r="K20" s="22">
        <v>4032.8319999999999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</row>
    <row r="21" spans="1:17" s="16" customFormat="1" ht="12" customHeight="1">
      <c r="A21" s="40"/>
      <c r="B21" s="18" t="s">
        <v>30</v>
      </c>
      <c r="C21" s="19"/>
      <c r="D21" s="20"/>
      <c r="E21" s="21"/>
      <c r="F21" s="22">
        <f t="shared" si="0"/>
        <v>4829.2039999999997</v>
      </c>
      <c r="G21" s="23">
        <v>4829.2039999999997</v>
      </c>
      <c r="H21" s="22">
        <f t="shared" si="7"/>
        <v>4829.2039999999997</v>
      </c>
      <c r="I21" s="22">
        <f t="shared" si="2"/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</row>
    <row r="22" spans="1:17" s="16" customFormat="1" ht="22.15" customHeight="1">
      <c r="A22" s="25">
        <v>6</v>
      </c>
      <c r="B22" s="26" t="s">
        <v>45</v>
      </c>
      <c r="C22" s="27" t="s">
        <v>43</v>
      </c>
      <c r="D22" s="28" t="s">
        <v>44</v>
      </c>
      <c r="E22" s="29">
        <f>F22</f>
        <v>122210.97300000001</v>
      </c>
      <c r="F22" s="30">
        <f t="shared" si="0"/>
        <v>122210.97300000001</v>
      </c>
      <c r="G22" s="31">
        <f>G23+G24</f>
        <v>106905.58900000001</v>
      </c>
      <c r="H22" s="31">
        <f t="shared" si="7"/>
        <v>112953.06000000001</v>
      </c>
      <c r="I22" s="30">
        <f t="shared" si="2"/>
        <v>9257.9130000000005</v>
      </c>
      <c r="J22" s="30">
        <f t="shared" ref="J22:O22" si="9">SUM(J23:J24)</f>
        <v>6047.4709999999995</v>
      </c>
      <c r="K22" s="30">
        <f t="shared" si="9"/>
        <v>9257.9130000000005</v>
      </c>
      <c r="L22" s="30">
        <f t="shared" si="9"/>
        <v>0</v>
      </c>
      <c r="M22" s="30">
        <f t="shared" si="9"/>
        <v>0</v>
      </c>
      <c r="N22" s="30">
        <f t="shared" si="9"/>
        <v>0</v>
      </c>
      <c r="O22" s="30">
        <f t="shared" si="9"/>
        <v>0</v>
      </c>
      <c r="P22" s="30">
        <f>SUM(P23:P24)</f>
        <v>0</v>
      </c>
      <c r="Q22" s="30">
        <f>SUM(Q23:Q24)</f>
        <v>0</v>
      </c>
    </row>
    <row r="23" spans="1:17" s="16" customFormat="1" ht="12" customHeight="1">
      <c r="A23" s="40"/>
      <c r="B23" s="18" t="s">
        <v>29</v>
      </c>
      <c r="C23" s="19"/>
      <c r="D23" s="20"/>
      <c r="E23" s="21"/>
      <c r="F23" s="22">
        <f t="shared" si="0"/>
        <v>105791.361</v>
      </c>
      <c r="G23" s="23">
        <v>90485.976999999999</v>
      </c>
      <c r="H23" s="22">
        <f t="shared" si="7"/>
        <v>96533.448000000004</v>
      </c>
      <c r="I23" s="22">
        <f t="shared" si="2"/>
        <v>9257.9130000000005</v>
      </c>
      <c r="J23" s="22">
        <v>6047.4709999999995</v>
      </c>
      <c r="K23" s="22">
        <f>7637.845-2484.949+4105.017</f>
        <v>9257.9130000000005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</row>
    <row r="24" spans="1:17" s="16" customFormat="1" ht="12" customHeight="1">
      <c r="A24" s="40"/>
      <c r="B24" s="18" t="s">
        <v>41</v>
      </c>
      <c r="C24" s="19"/>
      <c r="D24" s="20"/>
      <c r="E24" s="21"/>
      <c r="F24" s="22">
        <f t="shared" si="0"/>
        <v>16419.612000000001</v>
      </c>
      <c r="G24" s="23">
        <v>16419.612000000001</v>
      </c>
      <c r="H24" s="22">
        <f t="shared" si="7"/>
        <v>16419.612000000001</v>
      </c>
      <c r="I24" s="22">
        <f t="shared" si="2"/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</row>
    <row r="25" spans="1:17" s="16" customFormat="1" ht="22.9" customHeight="1">
      <c r="A25" s="25">
        <v>7</v>
      </c>
      <c r="B25" s="26" t="s">
        <v>46</v>
      </c>
      <c r="C25" s="27" t="s">
        <v>47</v>
      </c>
      <c r="D25" s="28" t="s">
        <v>48</v>
      </c>
      <c r="E25" s="29">
        <f>F25-F28</f>
        <v>610051.25499999989</v>
      </c>
      <c r="F25" s="30">
        <f t="shared" si="0"/>
        <v>816636.84199999995</v>
      </c>
      <c r="G25" s="31">
        <f>G26+G28+G27</f>
        <v>747471.11899999995</v>
      </c>
      <c r="H25" s="31">
        <f t="shared" si="7"/>
        <v>765764.65699999989</v>
      </c>
      <c r="I25" s="30">
        <f t="shared" si="2"/>
        <v>50872.184999999998</v>
      </c>
      <c r="J25" s="30">
        <f>SUM(J26:J28)</f>
        <v>18293.538</v>
      </c>
      <c r="K25" s="30">
        <f t="shared" ref="K25:Q25" si="10">SUM(K26:K28)</f>
        <v>268</v>
      </c>
      <c r="L25" s="31">
        <f t="shared" si="10"/>
        <v>50604.184999999998</v>
      </c>
      <c r="M25" s="30">
        <f t="shared" si="10"/>
        <v>0</v>
      </c>
      <c r="N25" s="30">
        <f t="shared" si="10"/>
        <v>0</v>
      </c>
      <c r="O25" s="30">
        <f t="shared" si="10"/>
        <v>0</v>
      </c>
      <c r="P25" s="30">
        <f t="shared" si="10"/>
        <v>0</v>
      </c>
      <c r="Q25" s="30">
        <f t="shared" si="10"/>
        <v>0</v>
      </c>
    </row>
    <row r="26" spans="1:17" s="16" customFormat="1" ht="12" customHeight="1">
      <c r="A26" s="40"/>
      <c r="B26" s="18" t="s">
        <v>29</v>
      </c>
      <c r="C26" s="19"/>
      <c r="D26" s="20"/>
      <c r="E26" s="21"/>
      <c r="F26" s="22">
        <f t="shared" si="0"/>
        <v>189846.16700000002</v>
      </c>
      <c r="G26" s="23">
        <v>189160.96900000001</v>
      </c>
      <c r="H26" s="22">
        <f t="shared" si="7"/>
        <v>189469.16700000002</v>
      </c>
      <c r="I26" s="22">
        <f t="shared" si="2"/>
        <v>377</v>
      </c>
      <c r="J26" s="22">
        <v>308.19799999999998</v>
      </c>
      <c r="K26" s="22">
        <v>268</v>
      </c>
      <c r="L26" s="22">
        <v>109</v>
      </c>
      <c r="M26" s="22">
        <v>0</v>
      </c>
      <c r="N26" s="22">
        <v>0</v>
      </c>
      <c r="O26" s="22">
        <v>0</v>
      </c>
      <c r="P26" s="22">
        <v>0</v>
      </c>
      <c r="Q26" s="22">
        <f>SUM(N26:N26)</f>
        <v>0</v>
      </c>
    </row>
    <row r="27" spans="1:17" s="16" customFormat="1" ht="12" customHeight="1">
      <c r="A27" s="40"/>
      <c r="B27" s="18" t="s">
        <v>41</v>
      </c>
      <c r="C27" s="19"/>
      <c r="D27" s="20"/>
      <c r="E27" s="21"/>
      <c r="F27" s="22">
        <f t="shared" si="0"/>
        <v>420205.08800000005</v>
      </c>
      <c r="G27" s="23">
        <v>351724.56300000002</v>
      </c>
      <c r="H27" s="22">
        <f t="shared" si="7"/>
        <v>369709.90300000005</v>
      </c>
      <c r="I27" s="22">
        <f t="shared" si="2"/>
        <v>50495.184999999998</v>
      </c>
      <c r="J27" s="22">
        <v>17985.34</v>
      </c>
      <c r="K27" s="22">
        <v>0</v>
      </c>
      <c r="L27" s="22">
        <v>50495.184999999998</v>
      </c>
      <c r="M27" s="22">
        <v>0</v>
      </c>
      <c r="N27" s="22">
        <v>0</v>
      </c>
      <c r="O27" s="22">
        <v>0</v>
      </c>
      <c r="P27" s="22">
        <v>0</v>
      </c>
      <c r="Q27" s="22">
        <f>SUM(N27:N27)</f>
        <v>0</v>
      </c>
    </row>
    <row r="28" spans="1:17" s="16" customFormat="1" ht="12" customHeight="1">
      <c r="A28" s="40"/>
      <c r="B28" s="18" t="s">
        <v>49</v>
      </c>
      <c r="C28" s="19"/>
      <c r="D28" s="20"/>
      <c r="E28" s="21"/>
      <c r="F28" s="22">
        <f t="shared" si="0"/>
        <v>206585.587</v>
      </c>
      <c r="G28" s="23">
        <v>206585.587</v>
      </c>
      <c r="H28" s="22">
        <f t="shared" si="7"/>
        <v>206585.587</v>
      </c>
      <c r="I28" s="22">
        <f t="shared" si="2"/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f>SUM(N28:N28)</f>
        <v>0</v>
      </c>
    </row>
    <row r="29" spans="1:17" s="16" customFormat="1" ht="22.15" customHeight="1">
      <c r="A29" s="25">
        <v>8</v>
      </c>
      <c r="B29" s="41" t="s">
        <v>50</v>
      </c>
      <c r="C29" s="42" t="s">
        <v>51</v>
      </c>
      <c r="D29" s="28" t="s">
        <v>44</v>
      </c>
      <c r="E29" s="29">
        <f>F29-F31</f>
        <v>32665.574000000001</v>
      </c>
      <c r="F29" s="30">
        <f t="shared" si="0"/>
        <v>44765.574000000001</v>
      </c>
      <c r="G29" s="31">
        <f>G30+G31</f>
        <v>41450.072</v>
      </c>
      <c r="H29" s="31">
        <f t="shared" si="7"/>
        <v>43282.184000000001</v>
      </c>
      <c r="I29" s="30">
        <f t="shared" si="2"/>
        <v>1483.3899999999999</v>
      </c>
      <c r="J29" s="30">
        <f t="shared" ref="J29:Q29" si="11">SUM(J30:J31)</f>
        <v>1832.1120000000001</v>
      </c>
      <c r="K29" s="30">
        <f t="shared" si="11"/>
        <v>1483.3899999999999</v>
      </c>
      <c r="L29" s="30">
        <f t="shared" si="11"/>
        <v>0</v>
      </c>
      <c r="M29" s="30">
        <f t="shared" si="11"/>
        <v>0</v>
      </c>
      <c r="N29" s="30">
        <f t="shared" si="11"/>
        <v>0</v>
      </c>
      <c r="O29" s="30">
        <f t="shared" si="11"/>
        <v>0</v>
      </c>
      <c r="P29" s="30">
        <f t="shared" si="11"/>
        <v>0</v>
      </c>
      <c r="Q29" s="30">
        <f t="shared" si="11"/>
        <v>0</v>
      </c>
    </row>
    <row r="30" spans="1:17" s="16" customFormat="1" ht="12" customHeight="1">
      <c r="A30" s="40"/>
      <c r="B30" s="18" t="s">
        <v>29</v>
      </c>
      <c r="C30" s="20"/>
      <c r="D30" s="20"/>
      <c r="E30" s="21"/>
      <c r="F30" s="22">
        <f t="shared" si="0"/>
        <v>32665.574000000001</v>
      </c>
      <c r="G30" s="22">
        <v>29350.072</v>
      </c>
      <c r="H30" s="22">
        <f t="shared" si="7"/>
        <v>31182.184000000001</v>
      </c>
      <c r="I30" s="22">
        <f t="shared" si="2"/>
        <v>1483.3899999999999</v>
      </c>
      <c r="J30" s="22">
        <v>1832.1120000000001</v>
      </c>
      <c r="K30" s="22">
        <f>2483.39-1000</f>
        <v>1483.3899999999999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</row>
    <row r="31" spans="1:17" s="16" customFormat="1" ht="12" customHeight="1">
      <c r="A31" s="40"/>
      <c r="B31" s="18" t="s">
        <v>52</v>
      </c>
      <c r="C31" s="19"/>
      <c r="D31" s="20"/>
      <c r="E31" s="21"/>
      <c r="F31" s="22">
        <f t="shared" si="0"/>
        <v>12100</v>
      </c>
      <c r="G31" s="23">
        <v>12100</v>
      </c>
      <c r="H31" s="22">
        <f t="shared" si="7"/>
        <v>12100</v>
      </c>
      <c r="I31" s="22">
        <f t="shared" si="2"/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</row>
    <row r="32" spans="1:17" s="16" customFormat="1" ht="23.45" customHeight="1">
      <c r="A32" s="25">
        <v>9</v>
      </c>
      <c r="B32" s="38" t="s">
        <v>53</v>
      </c>
      <c r="C32" s="42" t="s">
        <v>51</v>
      </c>
      <c r="D32" s="28" t="s">
        <v>54</v>
      </c>
      <c r="E32" s="29">
        <f>F32</f>
        <v>79062.725999999995</v>
      </c>
      <c r="F32" s="30">
        <f t="shared" si="0"/>
        <v>79062.725999999995</v>
      </c>
      <c r="G32" s="31">
        <f>G33+G34</f>
        <v>3384.7449999999999</v>
      </c>
      <c r="H32" s="31">
        <f t="shared" si="7"/>
        <v>3386.152</v>
      </c>
      <c r="I32" s="30">
        <f t="shared" si="2"/>
        <v>75676.573999999993</v>
      </c>
      <c r="J32" s="30">
        <f t="shared" ref="J32:P32" si="12">SUM(J33:J34)</f>
        <v>1.407</v>
      </c>
      <c r="K32" s="30">
        <f t="shared" si="12"/>
        <v>196.642</v>
      </c>
      <c r="L32" s="30">
        <f t="shared" si="12"/>
        <v>1475.3240000000001</v>
      </c>
      <c r="M32" s="30">
        <f t="shared" si="12"/>
        <v>34130.608</v>
      </c>
      <c r="N32" s="30">
        <f>SUM(N33:N34)</f>
        <v>39874</v>
      </c>
      <c r="O32" s="30">
        <f t="shared" si="12"/>
        <v>0</v>
      </c>
      <c r="P32" s="30">
        <f t="shared" si="12"/>
        <v>0</v>
      </c>
      <c r="Q32" s="30">
        <f>SUM(Q33:Q33)</f>
        <v>0</v>
      </c>
    </row>
    <row r="33" spans="1:17" s="16" customFormat="1" ht="12" customHeight="1">
      <c r="A33" s="40"/>
      <c r="B33" s="18" t="s">
        <v>29</v>
      </c>
      <c r="C33" s="20"/>
      <c r="D33" s="20"/>
      <c r="E33" s="21"/>
      <c r="F33" s="22">
        <f t="shared" si="0"/>
        <v>26765.905999999999</v>
      </c>
      <c r="G33" s="22">
        <v>3384.7449999999999</v>
      </c>
      <c r="H33" s="22">
        <f t="shared" si="7"/>
        <v>3386.152</v>
      </c>
      <c r="I33" s="22">
        <f t="shared" si="2"/>
        <v>23379.754000000001</v>
      </c>
      <c r="J33" s="22">
        <v>1.407</v>
      </c>
      <c r="K33" s="22">
        <v>196.642</v>
      </c>
      <c r="L33" s="22">
        <v>1074.509</v>
      </c>
      <c r="M33" s="22">
        <f>698.679+10653.403</f>
        <v>11352.082</v>
      </c>
      <c r="N33" s="22">
        <v>10756.521000000001</v>
      </c>
      <c r="O33" s="22">
        <v>0</v>
      </c>
      <c r="P33" s="22">
        <v>0</v>
      </c>
      <c r="Q33" s="22">
        <v>0</v>
      </c>
    </row>
    <row r="34" spans="1:17" s="16" customFormat="1" ht="12" customHeight="1">
      <c r="A34" s="40"/>
      <c r="B34" s="18" t="s">
        <v>41</v>
      </c>
      <c r="C34" s="20"/>
      <c r="D34" s="20"/>
      <c r="E34" s="21"/>
      <c r="F34" s="22">
        <f t="shared" si="0"/>
        <v>52296.82</v>
      </c>
      <c r="G34" s="22">
        <v>0</v>
      </c>
      <c r="H34" s="22">
        <f t="shared" si="7"/>
        <v>0</v>
      </c>
      <c r="I34" s="22">
        <f t="shared" si="2"/>
        <v>52296.82</v>
      </c>
      <c r="J34" s="22">
        <v>0</v>
      </c>
      <c r="K34" s="22">
        <v>0</v>
      </c>
      <c r="L34" s="22">
        <v>400.815</v>
      </c>
      <c r="M34" s="22">
        <v>22778.526000000002</v>
      </c>
      <c r="N34" s="22">
        <v>29117.478999999999</v>
      </c>
      <c r="O34" s="22">
        <v>0</v>
      </c>
      <c r="P34" s="22">
        <v>0</v>
      </c>
      <c r="Q34" s="22">
        <v>0</v>
      </c>
    </row>
    <row r="35" spans="1:17" s="16" customFormat="1" ht="24.6" customHeight="1">
      <c r="A35" s="25">
        <v>10</v>
      </c>
      <c r="B35" s="41" t="s">
        <v>55</v>
      </c>
      <c r="C35" s="42" t="s">
        <v>51</v>
      </c>
      <c r="D35" s="28" t="s">
        <v>56</v>
      </c>
      <c r="E35" s="29">
        <f>F35-F37</f>
        <v>16379.791999999998</v>
      </c>
      <c r="F35" s="30">
        <f t="shared" si="0"/>
        <v>17384.792999999998</v>
      </c>
      <c r="G35" s="31">
        <f>G36+G37</f>
        <v>9228.3989999999994</v>
      </c>
      <c r="H35" s="31">
        <f t="shared" si="7"/>
        <v>10852.898999999999</v>
      </c>
      <c r="I35" s="30">
        <f t="shared" si="2"/>
        <v>4571.3140000000003</v>
      </c>
      <c r="J35" s="30">
        <f t="shared" ref="J35:Q35" si="13">SUM(J36:J37)</f>
        <v>1624.5</v>
      </c>
      <c r="K35" s="30">
        <f t="shared" si="13"/>
        <v>1368.3779999999999</v>
      </c>
      <c r="L35" s="30">
        <f t="shared" si="13"/>
        <v>1100.7339999999999</v>
      </c>
      <c r="M35" s="30">
        <f t="shared" si="13"/>
        <v>700.73400000000004</v>
      </c>
      <c r="N35" s="30">
        <f t="shared" si="13"/>
        <v>700.73400000000004</v>
      </c>
      <c r="O35" s="30">
        <f t="shared" si="13"/>
        <v>700.73400000000004</v>
      </c>
      <c r="P35" s="30">
        <f t="shared" si="13"/>
        <v>700.73400000000004</v>
      </c>
      <c r="Q35" s="30">
        <f t="shared" si="13"/>
        <v>1960.58</v>
      </c>
    </row>
    <row r="36" spans="1:17" s="16" customFormat="1" ht="12.6" customHeight="1">
      <c r="A36" s="40"/>
      <c r="B36" s="18" t="s">
        <v>29</v>
      </c>
      <c r="C36" s="19"/>
      <c r="D36" s="20"/>
      <c r="E36" s="21"/>
      <c r="F36" s="22">
        <f t="shared" si="0"/>
        <v>16379.791999999999</v>
      </c>
      <c r="G36" s="23">
        <v>8223.3979999999992</v>
      </c>
      <c r="H36" s="22">
        <f t="shared" si="7"/>
        <v>9847.8979999999992</v>
      </c>
      <c r="I36" s="22">
        <f t="shared" si="2"/>
        <v>4571.3140000000003</v>
      </c>
      <c r="J36" s="22">
        <v>1624.5</v>
      </c>
      <c r="K36" s="22">
        <v>1368.3779999999999</v>
      </c>
      <c r="L36" s="22">
        <v>1100.7339999999999</v>
      </c>
      <c r="M36" s="22">
        <v>700.73400000000004</v>
      </c>
      <c r="N36" s="22">
        <v>700.73400000000004</v>
      </c>
      <c r="O36" s="22">
        <v>700.73400000000004</v>
      </c>
      <c r="P36" s="22">
        <v>700.73400000000004</v>
      </c>
      <c r="Q36" s="22">
        <v>1960.58</v>
      </c>
    </row>
    <row r="37" spans="1:17" s="16" customFormat="1" ht="12.6" customHeight="1">
      <c r="A37" s="40"/>
      <c r="B37" s="18" t="s">
        <v>30</v>
      </c>
      <c r="C37" s="19"/>
      <c r="D37" s="20"/>
      <c r="E37" s="21"/>
      <c r="F37" s="22">
        <f t="shared" si="0"/>
        <v>1005.001</v>
      </c>
      <c r="G37" s="23">
        <v>1005.001</v>
      </c>
      <c r="H37" s="22">
        <f t="shared" si="7"/>
        <v>1005.001</v>
      </c>
      <c r="I37" s="22">
        <f t="shared" si="2"/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/>
      <c r="Q37" s="22">
        <f>SUM(N37:N37)</f>
        <v>0</v>
      </c>
    </row>
    <row r="38" spans="1:17" s="16" customFormat="1" ht="22.15" customHeight="1">
      <c r="A38" s="25">
        <v>11</v>
      </c>
      <c r="B38" s="41" t="s">
        <v>57</v>
      </c>
      <c r="C38" s="27" t="s">
        <v>58</v>
      </c>
      <c r="D38" s="28" t="s">
        <v>59</v>
      </c>
      <c r="E38" s="29">
        <f>F38</f>
        <v>82394.820000000007</v>
      </c>
      <c r="F38" s="30">
        <f t="shared" si="0"/>
        <v>82394.820000000007</v>
      </c>
      <c r="G38" s="31">
        <f>G39+G40</f>
        <v>2032.779</v>
      </c>
      <c r="H38" s="31">
        <f t="shared" si="7"/>
        <v>29572.107</v>
      </c>
      <c r="I38" s="30">
        <f t="shared" si="2"/>
        <v>52822.713000000003</v>
      </c>
      <c r="J38" s="30">
        <f t="shared" ref="J38:Q38" si="14">SUM(J39:J40)</f>
        <v>27539.328000000001</v>
      </c>
      <c r="K38" s="30">
        <f t="shared" si="14"/>
        <v>52822.713000000003</v>
      </c>
      <c r="L38" s="30">
        <f t="shared" si="14"/>
        <v>0</v>
      </c>
      <c r="M38" s="30">
        <f t="shared" si="14"/>
        <v>0</v>
      </c>
      <c r="N38" s="30">
        <f t="shared" si="14"/>
        <v>0</v>
      </c>
      <c r="O38" s="30">
        <f t="shared" si="14"/>
        <v>0</v>
      </c>
      <c r="P38" s="30">
        <f t="shared" si="14"/>
        <v>0</v>
      </c>
      <c r="Q38" s="30">
        <f t="shared" si="14"/>
        <v>0</v>
      </c>
    </row>
    <row r="39" spans="1:17" s="16" customFormat="1" ht="12.6" customHeight="1">
      <c r="A39" s="40"/>
      <c r="B39" s="18" t="s">
        <v>29</v>
      </c>
      <c r="C39" s="20"/>
      <c r="D39" s="20"/>
      <c r="E39" s="21"/>
      <c r="F39" s="22">
        <f t="shared" si="0"/>
        <v>15166.766</v>
      </c>
      <c r="G39" s="22">
        <v>1339.3050000000001</v>
      </c>
      <c r="H39" s="22">
        <f t="shared" si="7"/>
        <v>6172.9720000000007</v>
      </c>
      <c r="I39" s="22">
        <f t="shared" si="2"/>
        <v>8993.7939999999999</v>
      </c>
      <c r="J39" s="34">
        <v>4833.6670000000004</v>
      </c>
      <c r="K39" s="22">
        <v>8993.7939999999999</v>
      </c>
      <c r="L39" s="24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</row>
    <row r="40" spans="1:17" s="16" customFormat="1" ht="12.6" customHeight="1">
      <c r="A40" s="40"/>
      <c r="B40" s="18" t="s">
        <v>41</v>
      </c>
      <c r="C40" s="20"/>
      <c r="D40" s="20"/>
      <c r="E40" s="21"/>
      <c r="F40" s="22">
        <f t="shared" si="0"/>
        <v>67228.054000000004</v>
      </c>
      <c r="G40" s="22">
        <v>693.47400000000005</v>
      </c>
      <c r="H40" s="22">
        <f t="shared" si="7"/>
        <v>23399.134999999998</v>
      </c>
      <c r="I40" s="22">
        <f t="shared" si="2"/>
        <v>43828.919000000002</v>
      </c>
      <c r="J40" s="34">
        <v>22705.661</v>
      </c>
      <c r="K40" s="22">
        <v>43828.919000000002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</row>
    <row r="41" spans="1:17" s="7" customFormat="1" ht="23.45" customHeight="1">
      <c r="A41" s="25">
        <v>12</v>
      </c>
      <c r="B41" s="41" t="s">
        <v>60</v>
      </c>
      <c r="C41" s="27" t="s">
        <v>61</v>
      </c>
      <c r="D41" s="28" t="s">
        <v>62</v>
      </c>
      <c r="E41" s="29">
        <f>F42</f>
        <v>42433.81</v>
      </c>
      <c r="F41" s="30">
        <f t="shared" si="0"/>
        <v>43433.81</v>
      </c>
      <c r="G41" s="31">
        <f>G42+G43</f>
        <v>7549.6989999999996</v>
      </c>
      <c r="H41" s="31">
        <f t="shared" si="7"/>
        <v>10649.699000000001</v>
      </c>
      <c r="I41" s="30">
        <f t="shared" si="2"/>
        <v>25784.111000000001</v>
      </c>
      <c r="J41" s="30">
        <f t="shared" ref="J41:Q41" si="15">SUM(J42:J43)</f>
        <v>3100</v>
      </c>
      <c r="K41" s="30">
        <f t="shared" si="15"/>
        <v>22010.631000000001</v>
      </c>
      <c r="L41" s="30">
        <f t="shared" si="15"/>
        <v>3773.4799999999996</v>
      </c>
      <c r="M41" s="30">
        <f t="shared" si="15"/>
        <v>0</v>
      </c>
      <c r="N41" s="30">
        <f t="shared" si="15"/>
        <v>0</v>
      </c>
      <c r="O41" s="30">
        <f t="shared" si="15"/>
        <v>0</v>
      </c>
      <c r="P41" s="30">
        <f t="shared" si="15"/>
        <v>0</v>
      </c>
      <c r="Q41" s="30">
        <f t="shared" si="15"/>
        <v>7000</v>
      </c>
    </row>
    <row r="42" spans="1:17" s="7" customFormat="1" ht="12.6" customHeight="1">
      <c r="A42" s="40"/>
      <c r="B42" s="18" t="s">
        <v>29</v>
      </c>
      <c r="C42" s="19"/>
      <c r="D42" s="20"/>
      <c r="E42" s="21"/>
      <c r="F42" s="22">
        <f t="shared" si="0"/>
        <v>42433.81</v>
      </c>
      <c r="G42" s="23">
        <v>7549.6989999999996</v>
      </c>
      <c r="H42" s="22">
        <f t="shared" si="7"/>
        <v>9649.6990000000005</v>
      </c>
      <c r="I42" s="22">
        <f t="shared" si="2"/>
        <v>25784.111000000001</v>
      </c>
      <c r="J42" s="23">
        <v>2100</v>
      </c>
      <c r="K42" s="23">
        <f>14715+7320-24.369</f>
        <v>22010.631000000001</v>
      </c>
      <c r="L42" s="23">
        <f>11073.48-7300</f>
        <v>3773.4799999999996</v>
      </c>
      <c r="M42" s="23">
        <v>0</v>
      </c>
      <c r="N42" s="23">
        <v>0</v>
      </c>
      <c r="O42" s="23">
        <v>0</v>
      </c>
      <c r="P42" s="23">
        <v>0</v>
      </c>
      <c r="Q42" s="23">
        <v>7000</v>
      </c>
    </row>
    <row r="43" spans="1:17" s="7" customFormat="1" ht="12.6" customHeight="1">
      <c r="A43" s="40"/>
      <c r="B43" s="18" t="s">
        <v>30</v>
      </c>
      <c r="C43" s="19"/>
      <c r="D43" s="20"/>
      <c r="E43" s="21"/>
      <c r="F43" s="22">
        <f t="shared" si="0"/>
        <v>1000</v>
      </c>
      <c r="G43" s="23">
        <v>0</v>
      </c>
      <c r="H43" s="22">
        <f t="shared" si="7"/>
        <v>1000</v>
      </c>
      <c r="I43" s="22">
        <f t="shared" si="2"/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2">
        <f>SUM(N43:N43)</f>
        <v>0</v>
      </c>
    </row>
    <row r="44" spans="1:17" s="1" customFormat="1" ht="23.45" customHeight="1">
      <c r="A44" s="25">
        <v>13</v>
      </c>
      <c r="B44" s="41" t="s">
        <v>63</v>
      </c>
      <c r="C44" s="27" t="s">
        <v>43</v>
      </c>
      <c r="D44" s="28" t="s">
        <v>64</v>
      </c>
      <c r="E44" s="29">
        <f>F44-F46</f>
        <v>4516.1190000000006</v>
      </c>
      <c r="F44" s="30">
        <f t="shared" si="0"/>
        <v>7361.0480000000007</v>
      </c>
      <c r="G44" s="43">
        <f>G45+G46</f>
        <v>651.79700000000003</v>
      </c>
      <c r="H44" s="31">
        <f t="shared" si="7"/>
        <v>1079.797</v>
      </c>
      <c r="I44" s="30">
        <f t="shared" si="2"/>
        <v>6281.2510000000002</v>
      </c>
      <c r="J44" s="30">
        <f t="shared" ref="J44:Q44" si="16">SUM(J45:J46)</f>
        <v>428</v>
      </c>
      <c r="K44" s="30">
        <f t="shared" si="16"/>
        <v>6281.2510000000002</v>
      </c>
      <c r="L44" s="30">
        <f t="shared" si="16"/>
        <v>0</v>
      </c>
      <c r="M44" s="30">
        <f t="shared" si="16"/>
        <v>0</v>
      </c>
      <c r="N44" s="30">
        <f t="shared" si="16"/>
        <v>0</v>
      </c>
      <c r="O44" s="30">
        <f t="shared" si="16"/>
        <v>0</v>
      </c>
      <c r="P44" s="30">
        <f t="shared" si="16"/>
        <v>0</v>
      </c>
      <c r="Q44" s="30">
        <f t="shared" si="16"/>
        <v>0</v>
      </c>
    </row>
    <row r="45" spans="1:17" s="1" customFormat="1" ht="12.6" customHeight="1">
      <c r="A45" s="40"/>
      <c r="B45" s="18" t="s">
        <v>29</v>
      </c>
      <c r="C45" s="19"/>
      <c r="D45" s="20"/>
      <c r="E45" s="21"/>
      <c r="F45" s="22">
        <f t="shared" si="0"/>
        <v>4516.1190000000006</v>
      </c>
      <c r="G45" s="23">
        <v>651.79700000000003</v>
      </c>
      <c r="H45" s="22">
        <f t="shared" si="7"/>
        <v>1079.797</v>
      </c>
      <c r="I45" s="22">
        <f t="shared" si="2"/>
        <v>3436.3220000000001</v>
      </c>
      <c r="J45" s="22">
        <v>428</v>
      </c>
      <c r="K45" s="22">
        <f>3803.25-233.159-133.769</f>
        <v>3436.3220000000001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</row>
    <row r="46" spans="1:17" s="1" customFormat="1" ht="12.6" customHeight="1">
      <c r="A46" s="40"/>
      <c r="B46" s="18" t="s">
        <v>30</v>
      </c>
      <c r="C46" s="19"/>
      <c r="D46" s="20"/>
      <c r="E46" s="21"/>
      <c r="F46" s="22">
        <f t="shared" si="0"/>
        <v>2844.9290000000001</v>
      </c>
      <c r="G46" s="23">
        <v>0</v>
      </c>
      <c r="H46" s="22">
        <f t="shared" si="7"/>
        <v>0</v>
      </c>
      <c r="I46" s="22">
        <f t="shared" si="2"/>
        <v>2844.9290000000001</v>
      </c>
      <c r="J46" s="22">
        <v>0</v>
      </c>
      <c r="K46" s="22">
        <v>2844.9290000000001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</row>
    <row r="47" spans="1:17" s="16" customFormat="1" ht="22.5">
      <c r="A47" s="25">
        <v>14</v>
      </c>
      <c r="B47" s="44" t="s">
        <v>65</v>
      </c>
      <c r="C47" s="42" t="s">
        <v>51</v>
      </c>
      <c r="D47" s="28" t="s">
        <v>66</v>
      </c>
      <c r="E47" s="29">
        <f>F47</f>
        <v>318691.29300000006</v>
      </c>
      <c r="F47" s="30">
        <f t="shared" si="0"/>
        <v>318691.29300000006</v>
      </c>
      <c r="G47" s="31">
        <f>G48</f>
        <v>13491.543</v>
      </c>
      <c r="H47" s="31">
        <f t="shared" si="7"/>
        <v>19671.785</v>
      </c>
      <c r="I47" s="30">
        <f t="shared" si="2"/>
        <v>299019.50800000003</v>
      </c>
      <c r="J47" s="30">
        <f>SUM(J48:J48)</f>
        <v>6180.2420000000002</v>
      </c>
      <c r="K47" s="30">
        <f>SUM(K48:K49)</f>
        <v>1316.508</v>
      </c>
      <c r="L47" s="30">
        <f t="shared" ref="L47:Q47" si="17">SUM(L48:L49)</f>
        <v>8303</v>
      </c>
      <c r="M47" s="31">
        <f t="shared" si="17"/>
        <v>78859</v>
      </c>
      <c r="N47" s="31">
        <f t="shared" si="17"/>
        <v>131276</v>
      </c>
      <c r="O47" s="31">
        <f t="shared" si="17"/>
        <v>79265</v>
      </c>
      <c r="P47" s="30">
        <f t="shared" si="17"/>
        <v>0</v>
      </c>
      <c r="Q47" s="30">
        <f t="shared" si="17"/>
        <v>0</v>
      </c>
    </row>
    <row r="48" spans="1:17" s="16" customFormat="1" ht="11.45" customHeight="1">
      <c r="A48" s="40"/>
      <c r="B48" s="18" t="s">
        <v>29</v>
      </c>
      <c r="C48" s="20"/>
      <c r="D48" s="20"/>
      <c r="E48" s="21"/>
      <c r="F48" s="22">
        <f t="shared" si="0"/>
        <v>152353.894</v>
      </c>
      <c r="G48" s="22">
        <v>13491.543</v>
      </c>
      <c r="H48" s="22">
        <f t="shared" si="7"/>
        <v>19671.785</v>
      </c>
      <c r="I48" s="22">
        <f t="shared" si="2"/>
        <v>132682.109</v>
      </c>
      <c r="J48" s="22">
        <v>6180.2420000000002</v>
      </c>
      <c r="K48" s="22">
        <f>1626.23-309.722</f>
        <v>1316.508</v>
      </c>
      <c r="L48" s="22">
        <f>8000+303</f>
        <v>8303</v>
      </c>
      <c r="M48" s="22">
        <v>30858.878000000001</v>
      </c>
      <c r="N48" s="22">
        <v>55276.324999999997</v>
      </c>
      <c r="O48" s="22">
        <v>36927.398000000001</v>
      </c>
      <c r="P48" s="22">
        <f>21300-21300</f>
        <v>0</v>
      </c>
      <c r="Q48" s="22">
        <v>0</v>
      </c>
    </row>
    <row r="49" spans="1:237" s="16" customFormat="1" ht="11.45" customHeight="1">
      <c r="A49" s="40"/>
      <c r="B49" s="18" t="s">
        <v>41</v>
      </c>
      <c r="C49" s="20"/>
      <c r="D49" s="20"/>
      <c r="E49" s="21"/>
      <c r="F49" s="22">
        <f t="shared" si="0"/>
        <v>166337.399</v>
      </c>
      <c r="G49" s="22">
        <v>0</v>
      </c>
      <c r="H49" s="22">
        <v>0</v>
      </c>
      <c r="I49" s="22">
        <f>SUM(K49:O49)</f>
        <v>166337.399</v>
      </c>
      <c r="J49" s="22">
        <v>0</v>
      </c>
      <c r="K49" s="22">
        <v>0</v>
      </c>
      <c r="L49" s="22">
        <v>0</v>
      </c>
      <c r="M49" s="22">
        <v>48000.122000000003</v>
      </c>
      <c r="N49" s="22">
        <v>75999.675000000003</v>
      </c>
      <c r="O49" s="22">
        <v>42337.601999999999</v>
      </c>
      <c r="P49" s="22">
        <v>0</v>
      </c>
      <c r="Q49" s="22">
        <v>0</v>
      </c>
    </row>
    <row r="50" spans="1:237" s="7" customFormat="1" ht="39.6" customHeight="1">
      <c r="A50" s="25">
        <v>15</v>
      </c>
      <c r="B50" s="38" t="s">
        <v>67</v>
      </c>
      <c r="C50" s="27" t="s">
        <v>68</v>
      </c>
      <c r="D50" s="28" t="s">
        <v>69</v>
      </c>
      <c r="E50" s="29">
        <f>F51</f>
        <v>420830.04699999996</v>
      </c>
      <c r="F50" s="45">
        <f t="shared" si="0"/>
        <v>427388.63500000001</v>
      </c>
      <c r="G50" s="31">
        <f>G51</f>
        <v>169125.05600000001</v>
      </c>
      <c r="H50" s="31">
        <f t="shared" si="7"/>
        <v>186434.55200000003</v>
      </c>
      <c r="I50" s="31">
        <f>SUM(K50:O50)</f>
        <v>175094.08300000001</v>
      </c>
      <c r="J50" s="30">
        <f>SUM(J51:J51)</f>
        <v>17309.496000000003</v>
      </c>
      <c r="K50" s="30">
        <f t="shared" ref="K50:Q50" si="18">SUM(K51:K52)</f>
        <v>34676.855000000003</v>
      </c>
      <c r="L50" s="30">
        <f t="shared" si="18"/>
        <v>40929.228000000003</v>
      </c>
      <c r="M50" s="30">
        <f t="shared" si="18"/>
        <v>47030</v>
      </c>
      <c r="N50" s="30">
        <f t="shared" si="18"/>
        <v>18960</v>
      </c>
      <c r="O50" s="30">
        <f t="shared" si="18"/>
        <v>33498</v>
      </c>
      <c r="P50" s="30">
        <f t="shared" si="18"/>
        <v>17660</v>
      </c>
      <c r="Q50" s="30">
        <f t="shared" si="18"/>
        <v>65860</v>
      </c>
      <c r="HZ50" s="16"/>
      <c r="IA50" s="16"/>
      <c r="IB50" s="35"/>
      <c r="IC50" s="36"/>
    </row>
    <row r="51" spans="1:237" s="7" customFormat="1" ht="11.45" customHeight="1">
      <c r="A51" s="40"/>
      <c r="B51" s="18" t="s">
        <v>29</v>
      </c>
      <c r="C51" s="19"/>
      <c r="D51" s="20"/>
      <c r="E51" s="21"/>
      <c r="F51" s="22">
        <f t="shared" si="0"/>
        <v>420830.04699999996</v>
      </c>
      <c r="G51" s="23">
        <v>169125.05600000001</v>
      </c>
      <c r="H51" s="22">
        <f t="shared" si="7"/>
        <v>186434.55200000003</v>
      </c>
      <c r="I51" s="22">
        <f t="shared" si="2"/>
        <v>168535.495</v>
      </c>
      <c r="J51" s="22">
        <f>16868.863+440.633</f>
        <v>17309.496000000003</v>
      </c>
      <c r="K51" s="22">
        <v>34676.855000000003</v>
      </c>
      <c r="L51" s="24">
        <f>34130.64+400</f>
        <v>34530.639999999999</v>
      </c>
      <c r="M51" s="24">
        <f>45720+450+700</f>
        <v>46870</v>
      </c>
      <c r="N51" s="22">
        <v>18960</v>
      </c>
      <c r="O51" s="22">
        <v>33498</v>
      </c>
      <c r="P51" s="22">
        <v>17660</v>
      </c>
      <c r="Q51" s="22">
        <v>65860</v>
      </c>
    </row>
    <row r="52" spans="1:237" s="7" customFormat="1" ht="11.45" customHeight="1">
      <c r="A52" s="40"/>
      <c r="B52" s="18" t="s">
        <v>30</v>
      </c>
      <c r="C52" s="19"/>
      <c r="D52" s="20"/>
      <c r="E52" s="21"/>
      <c r="F52" s="22">
        <f t="shared" si="0"/>
        <v>6558.5879999999997</v>
      </c>
      <c r="G52" s="23">
        <v>0</v>
      </c>
      <c r="H52" s="22">
        <f>J52+I52</f>
        <v>6558.5879999999997</v>
      </c>
      <c r="I52" s="22">
        <f>SUM(K52:O52)</f>
        <v>6558.5879999999997</v>
      </c>
      <c r="J52" s="22">
        <v>0</v>
      </c>
      <c r="K52" s="22">
        <v>0</v>
      </c>
      <c r="L52" s="22">
        <v>6398.5879999999997</v>
      </c>
      <c r="M52" s="22">
        <v>160</v>
      </c>
      <c r="N52" s="22">
        <v>0</v>
      </c>
      <c r="O52" s="22">
        <v>0</v>
      </c>
      <c r="P52" s="22">
        <v>0</v>
      </c>
      <c r="Q52" s="22">
        <v>0</v>
      </c>
    </row>
    <row r="53" spans="1:237" s="7" customFormat="1" ht="23.45" customHeight="1">
      <c r="A53" s="25">
        <v>16</v>
      </c>
      <c r="B53" s="26" t="s">
        <v>70</v>
      </c>
      <c r="C53" s="27" t="s">
        <v>43</v>
      </c>
      <c r="D53" s="28" t="s">
        <v>71</v>
      </c>
      <c r="E53" s="29">
        <f>F53-F55</f>
        <v>13114.929</v>
      </c>
      <c r="F53" s="30">
        <f t="shared" si="0"/>
        <v>17664.929</v>
      </c>
      <c r="G53" s="31">
        <f>G54+G55</f>
        <v>0</v>
      </c>
      <c r="H53" s="31">
        <f t="shared" ref="H53:H75" si="19">G53+J53</f>
        <v>1055.3399999999999</v>
      </c>
      <c r="I53" s="30">
        <f t="shared" si="2"/>
        <v>16609.589</v>
      </c>
      <c r="J53" s="30">
        <f t="shared" ref="J53:Q53" si="20">SUM(J54:J55)</f>
        <v>1055.3399999999999</v>
      </c>
      <c r="K53" s="30">
        <f t="shared" si="20"/>
        <v>14738.575000000001</v>
      </c>
      <c r="L53" s="30">
        <f t="shared" si="20"/>
        <v>1871.0140000000001</v>
      </c>
      <c r="M53" s="30">
        <f t="shared" si="20"/>
        <v>0</v>
      </c>
      <c r="N53" s="30">
        <f t="shared" si="20"/>
        <v>0</v>
      </c>
      <c r="O53" s="30">
        <f t="shared" si="20"/>
        <v>0</v>
      </c>
      <c r="P53" s="30">
        <f t="shared" si="20"/>
        <v>0</v>
      </c>
      <c r="Q53" s="30">
        <f t="shared" si="20"/>
        <v>0</v>
      </c>
    </row>
    <row r="54" spans="1:237" s="7" customFormat="1" ht="11.45" customHeight="1">
      <c r="A54" s="40"/>
      <c r="B54" s="18" t="s">
        <v>29</v>
      </c>
      <c r="C54" s="19"/>
      <c r="D54" s="20"/>
      <c r="E54" s="21"/>
      <c r="F54" s="22">
        <f t="shared" si="0"/>
        <v>13114.929</v>
      </c>
      <c r="G54" s="23">
        <v>0</v>
      </c>
      <c r="H54" s="22">
        <f t="shared" si="19"/>
        <v>922.697</v>
      </c>
      <c r="I54" s="22">
        <f t="shared" si="2"/>
        <v>12192.232</v>
      </c>
      <c r="J54" s="23">
        <v>922.697</v>
      </c>
      <c r="K54" s="23">
        <f>10802.877-481.659</f>
        <v>10321.218000000001</v>
      </c>
      <c r="L54" s="23">
        <f>991.903+397.452+481.659</f>
        <v>1871.0140000000001</v>
      </c>
      <c r="M54" s="23">
        <v>0</v>
      </c>
      <c r="N54" s="23">
        <v>0</v>
      </c>
      <c r="O54" s="23">
        <v>0</v>
      </c>
      <c r="P54" s="23">
        <v>0</v>
      </c>
      <c r="Q54" s="22">
        <v>0</v>
      </c>
    </row>
    <row r="55" spans="1:237" s="7" customFormat="1" ht="11.45" customHeight="1">
      <c r="A55" s="40"/>
      <c r="B55" s="18" t="s">
        <v>30</v>
      </c>
      <c r="C55" s="19"/>
      <c r="D55" s="20"/>
      <c r="E55" s="21"/>
      <c r="F55" s="22">
        <f t="shared" si="0"/>
        <v>4550</v>
      </c>
      <c r="G55" s="23">
        <v>0</v>
      </c>
      <c r="H55" s="22">
        <f t="shared" si="19"/>
        <v>132.643</v>
      </c>
      <c r="I55" s="22">
        <f t="shared" si="2"/>
        <v>4417.357</v>
      </c>
      <c r="J55" s="23">
        <v>132.643</v>
      </c>
      <c r="K55" s="23">
        <f>1550+2867.357</f>
        <v>4417.357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2">
        <v>0</v>
      </c>
    </row>
    <row r="56" spans="1:237" s="16" customFormat="1" ht="22.15" customHeight="1">
      <c r="A56" s="25">
        <v>17</v>
      </c>
      <c r="B56" s="41" t="s">
        <v>72</v>
      </c>
      <c r="C56" s="42" t="s">
        <v>51</v>
      </c>
      <c r="D56" s="28" t="s">
        <v>44</v>
      </c>
      <c r="E56" s="29">
        <f>F56</f>
        <v>107111.86400000002</v>
      </c>
      <c r="F56" s="30">
        <f t="shared" si="0"/>
        <v>107111.86400000002</v>
      </c>
      <c r="G56" s="31">
        <f>G57</f>
        <v>88398.71</v>
      </c>
      <c r="H56" s="31">
        <f t="shared" si="19"/>
        <v>94416.446000000011</v>
      </c>
      <c r="I56" s="30">
        <f t="shared" si="2"/>
        <v>12695.418</v>
      </c>
      <c r="J56" s="30">
        <f t="shared" ref="J56:P56" si="21">SUM(J57:J57)</f>
        <v>6017.7359999999999</v>
      </c>
      <c r="K56" s="30">
        <f t="shared" si="21"/>
        <v>12695.418</v>
      </c>
      <c r="L56" s="30">
        <f t="shared" si="21"/>
        <v>0</v>
      </c>
      <c r="M56" s="30">
        <f t="shared" si="21"/>
        <v>0</v>
      </c>
      <c r="N56" s="30">
        <f t="shared" si="21"/>
        <v>0</v>
      </c>
      <c r="O56" s="30">
        <f t="shared" si="21"/>
        <v>0</v>
      </c>
      <c r="P56" s="30">
        <f t="shared" si="21"/>
        <v>0</v>
      </c>
      <c r="Q56" s="30">
        <f>SUM(N56:N56)</f>
        <v>0</v>
      </c>
    </row>
    <row r="57" spans="1:237" s="16" customFormat="1" ht="12" customHeight="1">
      <c r="A57" s="40"/>
      <c r="B57" s="18" t="s">
        <v>29</v>
      </c>
      <c r="C57" s="20"/>
      <c r="D57" s="20"/>
      <c r="E57" s="21"/>
      <c r="F57" s="22">
        <f t="shared" si="0"/>
        <v>107111.86400000002</v>
      </c>
      <c r="G57" s="22">
        <v>88398.71</v>
      </c>
      <c r="H57" s="22">
        <f t="shared" si="19"/>
        <v>94416.446000000011</v>
      </c>
      <c r="I57" s="22">
        <f t="shared" si="2"/>
        <v>12695.418</v>
      </c>
      <c r="J57" s="22">
        <v>6017.7359999999999</v>
      </c>
      <c r="K57" s="22">
        <f>6017.736+6017.736+659.946</f>
        <v>12695.418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f>SUM(N57:N57)</f>
        <v>0</v>
      </c>
    </row>
    <row r="58" spans="1:237" s="16" customFormat="1" ht="22.9" customHeight="1">
      <c r="A58" s="25">
        <v>18</v>
      </c>
      <c r="B58" s="41" t="s">
        <v>73</v>
      </c>
      <c r="C58" s="27" t="s">
        <v>51</v>
      </c>
      <c r="D58" s="46" t="s">
        <v>74</v>
      </c>
      <c r="E58" s="29">
        <f>F58</f>
        <v>23526.569000000003</v>
      </c>
      <c r="F58" s="30">
        <f t="shared" si="0"/>
        <v>23526.569000000003</v>
      </c>
      <c r="G58" s="31">
        <f>G59</f>
        <v>0</v>
      </c>
      <c r="H58" s="31">
        <f t="shared" si="19"/>
        <v>23.343</v>
      </c>
      <c r="I58" s="30">
        <f t="shared" si="2"/>
        <v>18984.900000000001</v>
      </c>
      <c r="J58" s="30">
        <f t="shared" ref="J58:P58" si="22">SUM(J59)</f>
        <v>23.343</v>
      </c>
      <c r="K58" s="30">
        <f t="shared" si="22"/>
        <v>294.82799999999997</v>
      </c>
      <c r="L58" s="30">
        <f t="shared" si="22"/>
        <v>4518.326</v>
      </c>
      <c r="M58" s="30">
        <f t="shared" si="22"/>
        <v>5135.0940000000001</v>
      </c>
      <c r="N58" s="30">
        <f t="shared" si="22"/>
        <v>4518.326</v>
      </c>
      <c r="O58" s="30">
        <f t="shared" si="22"/>
        <v>4518.326</v>
      </c>
      <c r="P58" s="30">
        <f t="shared" si="22"/>
        <v>4518.326</v>
      </c>
      <c r="Q58" s="30">
        <f>SUM(Q59)</f>
        <v>4518.326</v>
      </c>
    </row>
    <row r="59" spans="1:237" s="7" customFormat="1" ht="11.45" customHeight="1">
      <c r="A59" s="40"/>
      <c r="B59" s="18" t="s">
        <v>29</v>
      </c>
      <c r="C59" s="19"/>
      <c r="D59" s="20"/>
      <c r="E59" s="21"/>
      <c r="F59" s="22">
        <f t="shared" si="0"/>
        <v>23526.569000000003</v>
      </c>
      <c r="G59" s="23">
        <v>0</v>
      </c>
      <c r="H59" s="22">
        <f t="shared" si="19"/>
        <v>23.343</v>
      </c>
      <c r="I59" s="22">
        <f t="shared" si="2"/>
        <v>18984.900000000001</v>
      </c>
      <c r="J59" s="22">
        <v>23.343</v>
      </c>
      <c r="K59" s="22">
        <v>294.82799999999997</v>
      </c>
      <c r="L59" s="22">
        <f>4000+518.326</f>
        <v>4518.326</v>
      </c>
      <c r="M59" s="22">
        <v>5135.0940000000001</v>
      </c>
      <c r="N59" s="22">
        <f>4000+518.326</f>
        <v>4518.326</v>
      </c>
      <c r="O59" s="22">
        <v>4518.326</v>
      </c>
      <c r="P59" s="22">
        <v>4518.326</v>
      </c>
      <c r="Q59" s="22">
        <v>4518.326</v>
      </c>
    </row>
    <row r="60" spans="1:237" s="16" customFormat="1" ht="23.45" customHeight="1">
      <c r="A60" s="25">
        <v>19</v>
      </c>
      <c r="B60" s="26" t="s">
        <v>75</v>
      </c>
      <c r="C60" s="27" t="s">
        <v>76</v>
      </c>
      <c r="D60" s="28" t="s">
        <v>77</v>
      </c>
      <c r="E60" s="29">
        <f>F61+F62</f>
        <v>156019.394</v>
      </c>
      <c r="F60" s="30">
        <f t="shared" si="0"/>
        <v>195723.18599999999</v>
      </c>
      <c r="G60" s="31">
        <f>G61+G63+G62</f>
        <v>0</v>
      </c>
      <c r="H60" s="31">
        <f t="shared" si="19"/>
        <v>38410.633000000002</v>
      </c>
      <c r="I60" s="30">
        <f>SUM(K60:O60)</f>
        <v>157312.55299999999</v>
      </c>
      <c r="J60" s="30">
        <f t="shared" ref="J60:Q60" si="23">SUM(J61:J63)</f>
        <v>38410.633000000002</v>
      </c>
      <c r="K60" s="30">
        <f t="shared" si="23"/>
        <v>111619.04699999999</v>
      </c>
      <c r="L60" s="30">
        <f t="shared" si="23"/>
        <v>45693.506000000001</v>
      </c>
      <c r="M60" s="30">
        <f t="shared" si="23"/>
        <v>0</v>
      </c>
      <c r="N60" s="30">
        <f t="shared" si="23"/>
        <v>0</v>
      </c>
      <c r="O60" s="30">
        <f t="shared" si="23"/>
        <v>0</v>
      </c>
      <c r="P60" s="30">
        <f t="shared" si="23"/>
        <v>0</v>
      </c>
      <c r="Q60" s="30">
        <f t="shared" si="23"/>
        <v>0</v>
      </c>
    </row>
    <row r="61" spans="1:237" s="16" customFormat="1" ht="11.45" customHeight="1">
      <c r="A61" s="17"/>
      <c r="B61" s="18" t="s">
        <v>29</v>
      </c>
      <c r="C61" s="19"/>
      <c r="D61" s="20"/>
      <c r="E61" s="21"/>
      <c r="F61" s="22">
        <f t="shared" si="0"/>
        <v>52294.498</v>
      </c>
      <c r="G61" s="23">
        <v>0</v>
      </c>
      <c r="H61" s="22">
        <f t="shared" si="19"/>
        <v>17966.544000000002</v>
      </c>
      <c r="I61" s="22">
        <f>SUM(K61:O61)</f>
        <v>34327.953999999998</v>
      </c>
      <c r="J61" s="22">
        <v>17966.544000000002</v>
      </c>
      <c r="K61" s="22">
        <v>23213.065999999999</v>
      </c>
      <c r="L61" s="24">
        <f>114.888+11000</f>
        <v>11114.888000000001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</row>
    <row r="62" spans="1:237" s="16" customFormat="1" ht="11.45" customHeight="1">
      <c r="A62" s="17"/>
      <c r="B62" s="18" t="s">
        <v>41</v>
      </c>
      <c r="C62" s="19"/>
      <c r="D62" s="20"/>
      <c r="E62" s="21"/>
      <c r="F62" s="22">
        <f t="shared" si="0"/>
        <v>103724.89599999999</v>
      </c>
      <c r="G62" s="23">
        <v>0</v>
      </c>
      <c r="H62" s="22">
        <f t="shared" si="19"/>
        <v>15440.955</v>
      </c>
      <c r="I62" s="22">
        <f>SUM(K62:O62)</f>
        <v>88283.940999999992</v>
      </c>
      <c r="J62" s="22">
        <v>15440.955</v>
      </c>
      <c r="K62" s="22">
        <v>53705.322999999997</v>
      </c>
      <c r="L62" s="22">
        <v>34578.618000000002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</row>
    <row r="63" spans="1:237" s="16" customFormat="1" ht="11.45" customHeight="1">
      <c r="A63" s="17"/>
      <c r="B63" s="18" t="s">
        <v>78</v>
      </c>
      <c r="C63" s="19"/>
      <c r="D63" s="20"/>
      <c r="E63" s="21"/>
      <c r="F63" s="22">
        <f t="shared" si="0"/>
        <v>39703.792000000001</v>
      </c>
      <c r="G63" s="23">
        <v>0</v>
      </c>
      <c r="H63" s="22">
        <f t="shared" si="19"/>
        <v>5003.134</v>
      </c>
      <c r="I63" s="22">
        <f>SUM(K63:O63)</f>
        <v>34700.658000000003</v>
      </c>
      <c r="J63" s="22">
        <v>5003.134</v>
      </c>
      <c r="K63" s="22">
        <v>34700.658000000003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</row>
    <row r="64" spans="1:237" s="16" customFormat="1" ht="25.15" customHeight="1">
      <c r="A64" s="25">
        <v>20</v>
      </c>
      <c r="B64" s="26" t="s">
        <v>79</v>
      </c>
      <c r="C64" s="27" t="s">
        <v>80</v>
      </c>
      <c r="D64" s="28" t="s">
        <v>81</v>
      </c>
      <c r="E64" s="29">
        <f>F64-F66</f>
        <v>131907.136</v>
      </c>
      <c r="F64" s="30">
        <f t="shared" si="0"/>
        <v>158053.136</v>
      </c>
      <c r="G64" s="31">
        <f>G65+G66+G67</f>
        <v>136779.25599999999</v>
      </c>
      <c r="H64" s="31">
        <f t="shared" si="19"/>
        <v>139302.25599999999</v>
      </c>
      <c r="I64" s="30">
        <f t="shared" ref="I64:I81" si="24">SUM(K64:O64)</f>
        <v>18750.88</v>
      </c>
      <c r="J64" s="30">
        <f t="shared" ref="J64:Q64" si="25">SUM(J65:J67)</f>
        <v>2523</v>
      </c>
      <c r="K64" s="30">
        <f t="shared" si="25"/>
        <v>1850.88</v>
      </c>
      <c r="L64" s="30">
        <f t="shared" si="25"/>
        <v>4900</v>
      </c>
      <c r="M64" s="30">
        <f t="shared" si="25"/>
        <v>4000</v>
      </c>
      <c r="N64" s="30">
        <f t="shared" si="25"/>
        <v>4000</v>
      </c>
      <c r="O64" s="30">
        <f t="shared" si="25"/>
        <v>4000</v>
      </c>
      <c r="P64" s="30">
        <f t="shared" si="25"/>
        <v>0</v>
      </c>
      <c r="Q64" s="30">
        <f t="shared" si="25"/>
        <v>0</v>
      </c>
    </row>
    <row r="65" spans="1:237" s="16" customFormat="1" ht="11.45" customHeight="1">
      <c r="A65" s="17"/>
      <c r="B65" s="18" t="s">
        <v>29</v>
      </c>
      <c r="C65" s="19"/>
      <c r="D65" s="20"/>
      <c r="E65" s="21"/>
      <c r="F65" s="22">
        <f t="shared" si="0"/>
        <v>130196.136</v>
      </c>
      <c r="G65" s="23">
        <v>109122.25599999999</v>
      </c>
      <c r="H65" s="22">
        <f t="shared" si="19"/>
        <v>111645.25599999999</v>
      </c>
      <c r="I65" s="22">
        <f t="shared" si="24"/>
        <v>18550.88</v>
      </c>
      <c r="J65" s="22">
        <v>2523</v>
      </c>
      <c r="K65" s="22">
        <v>1850.88</v>
      </c>
      <c r="L65" s="22">
        <v>4700</v>
      </c>
      <c r="M65" s="22">
        <v>4000</v>
      </c>
      <c r="N65" s="22">
        <v>4000</v>
      </c>
      <c r="O65" s="22">
        <v>4000</v>
      </c>
      <c r="P65" s="22">
        <v>0</v>
      </c>
      <c r="Q65" s="22">
        <v>0</v>
      </c>
    </row>
    <row r="66" spans="1:237" s="16" customFormat="1" ht="11.45" customHeight="1">
      <c r="A66" s="17"/>
      <c r="B66" s="18" t="s">
        <v>30</v>
      </c>
      <c r="C66" s="19"/>
      <c r="D66" s="20"/>
      <c r="E66" s="21"/>
      <c r="F66" s="22">
        <f t="shared" si="0"/>
        <v>26146</v>
      </c>
      <c r="G66" s="23">
        <v>25946</v>
      </c>
      <c r="H66" s="22">
        <f t="shared" si="19"/>
        <v>25946</v>
      </c>
      <c r="I66" s="22">
        <f t="shared" si="24"/>
        <v>200</v>
      </c>
      <c r="J66" s="22">
        <v>0</v>
      </c>
      <c r="K66" s="22">
        <v>0</v>
      </c>
      <c r="L66" s="22">
        <v>200</v>
      </c>
      <c r="M66" s="22">
        <v>0</v>
      </c>
      <c r="N66" s="22">
        <v>0</v>
      </c>
      <c r="O66" s="22">
        <v>0</v>
      </c>
      <c r="P66" s="22">
        <v>0</v>
      </c>
      <c r="Q66" s="22">
        <f>SUM(N66:N66)</f>
        <v>0</v>
      </c>
    </row>
    <row r="67" spans="1:237" s="7" customFormat="1" ht="11.45" customHeight="1">
      <c r="A67" s="17"/>
      <c r="B67" s="18" t="s">
        <v>82</v>
      </c>
      <c r="C67" s="19"/>
      <c r="D67" s="20"/>
      <c r="E67" s="21"/>
      <c r="F67" s="22">
        <f t="shared" si="0"/>
        <v>1711</v>
      </c>
      <c r="G67" s="23">
        <v>1711</v>
      </c>
      <c r="H67" s="22">
        <f t="shared" si="19"/>
        <v>1711</v>
      </c>
      <c r="I67" s="22">
        <f t="shared" si="24"/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f>SUM(N67:N67)</f>
        <v>0</v>
      </c>
    </row>
    <row r="68" spans="1:237" s="16" customFormat="1" ht="25.15" customHeight="1">
      <c r="A68" s="25">
        <v>21</v>
      </c>
      <c r="B68" s="26" t="s">
        <v>83</v>
      </c>
      <c r="C68" s="27" t="s">
        <v>43</v>
      </c>
      <c r="D68" s="28" t="s">
        <v>84</v>
      </c>
      <c r="E68" s="29">
        <f>F69+F70</f>
        <v>31597.620999999999</v>
      </c>
      <c r="F68" s="30">
        <f t="shared" si="0"/>
        <v>33898.120999999999</v>
      </c>
      <c r="G68" s="31">
        <f>G69+G70+G71</f>
        <v>1821.559</v>
      </c>
      <c r="H68" s="31">
        <f t="shared" si="19"/>
        <v>2072.5590000000002</v>
      </c>
      <c r="I68" s="30">
        <f t="shared" si="24"/>
        <v>22825.562000000002</v>
      </c>
      <c r="J68" s="30">
        <f t="shared" ref="J68:O68" si="26">SUM(J69:J71)</f>
        <v>251</v>
      </c>
      <c r="K68" s="30">
        <f t="shared" si="26"/>
        <v>16635.562000000002</v>
      </c>
      <c r="L68" s="30">
        <f t="shared" si="26"/>
        <v>100</v>
      </c>
      <c r="M68" s="30">
        <f t="shared" si="26"/>
        <v>90</v>
      </c>
      <c r="N68" s="30">
        <f t="shared" si="26"/>
        <v>3000</v>
      </c>
      <c r="O68" s="30">
        <f t="shared" si="26"/>
        <v>3000</v>
      </c>
      <c r="P68" s="30">
        <f>SUM(P69:P71)</f>
        <v>3000</v>
      </c>
      <c r="Q68" s="30">
        <f>SUM(Q69:Q71)</f>
        <v>9000</v>
      </c>
    </row>
    <row r="69" spans="1:237" s="16" customFormat="1" ht="11.45" customHeight="1">
      <c r="A69" s="17"/>
      <c r="B69" s="18" t="s">
        <v>29</v>
      </c>
      <c r="C69" s="19"/>
      <c r="D69" s="20"/>
      <c r="E69" s="21"/>
      <c r="F69" s="22">
        <f t="shared" si="0"/>
        <v>22809.112000000001</v>
      </c>
      <c r="G69" s="23">
        <v>1821.559</v>
      </c>
      <c r="H69" s="22">
        <f t="shared" si="19"/>
        <v>1974.1589999999999</v>
      </c>
      <c r="I69" s="22">
        <f t="shared" si="24"/>
        <v>11834.953000000001</v>
      </c>
      <c r="J69" s="22">
        <v>152.6</v>
      </c>
      <c r="K69" s="22">
        <f>6412.753-771.428-69.307+72.935</f>
        <v>5644.9530000000004</v>
      </c>
      <c r="L69" s="22">
        <v>100</v>
      </c>
      <c r="M69" s="22">
        <v>90</v>
      </c>
      <c r="N69" s="22">
        <v>3000</v>
      </c>
      <c r="O69" s="22">
        <v>3000</v>
      </c>
      <c r="P69" s="22">
        <v>3000</v>
      </c>
      <c r="Q69" s="22">
        <v>9000</v>
      </c>
    </row>
    <row r="70" spans="1:237" s="16" customFormat="1" ht="11.45" customHeight="1">
      <c r="A70" s="17"/>
      <c r="B70" s="18" t="s">
        <v>85</v>
      </c>
      <c r="C70" s="19"/>
      <c r="D70" s="20"/>
      <c r="E70" s="21"/>
      <c r="F70" s="22">
        <f t="shared" si="0"/>
        <v>8788.509</v>
      </c>
      <c r="G70" s="23">
        <v>0</v>
      </c>
      <c r="H70" s="22">
        <f t="shared" si="19"/>
        <v>98.4</v>
      </c>
      <c r="I70" s="22">
        <f t="shared" si="24"/>
        <v>8690.1090000000004</v>
      </c>
      <c r="J70" s="22">
        <v>98.4</v>
      </c>
      <c r="K70" s="22">
        <f>8763.044-72.935</f>
        <v>8690.1090000000004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</row>
    <row r="71" spans="1:237" s="16" customFormat="1" ht="11.45" customHeight="1">
      <c r="A71" s="17"/>
      <c r="B71" s="18" t="s">
        <v>86</v>
      </c>
      <c r="C71" s="19"/>
      <c r="D71" s="20"/>
      <c r="E71" s="21"/>
      <c r="F71" s="22">
        <f t="shared" si="0"/>
        <v>2300.5</v>
      </c>
      <c r="G71" s="23">
        <v>0</v>
      </c>
      <c r="H71" s="22">
        <f t="shared" si="19"/>
        <v>0</v>
      </c>
      <c r="I71" s="22">
        <f t="shared" si="24"/>
        <v>2300.5</v>
      </c>
      <c r="J71" s="22">
        <v>0</v>
      </c>
      <c r="K71" s="22">
        <f>2171.35+129.15</f>
        <v>2300.5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</row>
    <row r="72" spans="1:237" s="16" customFormat="1" ht="23.45" customHeight="1">
      <c r="A72" s="25">
        <v>22</v>
      </c>
      <c r="B72" s="41" t="s">
        <v>87</v>
      </c>
      <c r="C72" s="27" t="s">
        <v>88</v>
      </c>
      <c r="D72" s="46" t="s">
        <v>89</v>
      </c>
      <c r="E72" s="29">
        <f>F72</f>
        <v>114658</v>
      </c>
      <c r="F72" s="30">
        <f t="shared" si="0"/>
        <v>114658</v>
      </c>
      <c r="G72" s="31">
        <f>G73</f>
        <v>0</v>
      </c>
      <c r="H72" s="31">
        <f t="shared" si="19"/>
        <v>50</v>
      </c>
      <c r="I72" s="30">
        <f t="shared" si="24"/>
        <v>89608</v>
      </c>
      <c r="J72" s="30">
        <f t="shared" ref="J72:P72" si="27">SUM(J73)</f>
        <v>50</v>
      </c>
      <c r="K72" s="30">
        <f t="shared" si="27"/>
        <v>4128</v>
      </c>
      <c r="L72" s="30">
        <f t="shared" si="27"/>
        <v>10480</v>
      </c>
      <c r="M72" s="30">
        <f t="shared" si="27"/>
        <v>25000</v>
      </c>
      <c r="N72" s="30">
        <f t="shared" si="27"/>
        <v>25000</v>
      </c>
      <c r="O72" s="30">
        <f t="shared" si="27"/>
        <v>25000</v>
      </c>
      <c r="P72" s="30">
        <f t="shared" si="27"/>
        <v>25000</v>
      </c>
      <c r="Q72" s="30">
        <f>SUM(Q73)</f>
        <v>25000</v>
      </c>
    </row>
    <row r="73" spans="1:237" s="7" customFormat="1" ht="11.45" customHeight="1">
      <c r="A73" s="17"/>
      <c r="B73" s="18" t="s">
        <v>29</v>
      </c>
      <c r="C73" s="19"/>
      <c r="D73" s="20"/>
      <c r="E73" s="21"/>
      <c r="F73" s="22">
        <f t="shared" si="0"/>
        <v>114658</v>
      </c>
      <c r="G73" s="23">
        <v>0</v>
      </c>
      <c r="H73" s="22">
        <f t="shared" si="19"/>
        <v>50</v>
      </c>
      <c r="I73" s="22">
        <f t="shared" si="24"/>
        <v>89608</v>
      </c>
      <c r="J73" s="22">
        <v>50</v>
      </c>
      <c r="K73" s="22">
        <f>4693-565</f>
        <v>4128</v>
      </c>
      <c r="L73" s="22">
        <f>10985+565-850-220</f>
        <v>10480</v>
      </c>
      <c r="M73" s="22">
        <v>25000</v>
      </c>
      <c r="N73" s="22">
        <v>25000</v>
      </c>
      <c r="O73" s="22">
        <v>25000</v>
      </c>
      <c r="P73" s="22">
        <v>25000</v>
      </c>
      <c r="Q73" s="22">
        <f>SUM(P73:P73)</f>
        <v>25000</v>
      </c>
    </row>
    <row r="74" spans="1:237" s="16" customFormat="1" ht="22.9" customHeight="1">
      <c r="A74" s="25">
        <v>23</v>
      </c>
      <c r="B74" s="44" t="s">
        <v>90</v>
      </c>
      <c r="C74" s="27" t="s">
        <v>51</v>
      </c>
      <c r="D74" s="28" t="s">
        <v>91</v>
      </c>
      <c r="E74" s="29">
        <f>F75</f>
        <v>11558</v>
      </c>
      <c r="F74" s="30">
        <f t="shared" ref="F74:F118" si="28">G74+I74+J74+Q74</f>
        <v>14014</v>
      </c>
      <c r="G74" s="31">
        <f>G75</f>
        <v>0</v>
      </c>
      <c r="H74" s="31">
        <f t="shared" si="19"/>
        <v>0</v>
      </c>
      <c r="I74" s="30">
        <f t="shared" si="24"/>
        <v>14014</v>
      </c>
      <c r="J74" s="30">
        <f>J75</f>
        <v>0</v>
      </c>
      <c r="K74" s="30">
        <f t="shared" ref="K74:Q74" si="29">K75</f>
        <v>0</v>
      </c>
      <c r="L74" s="30">
        <f>SUM(L75:L76)</f>
        <v>11714</v>
      </c>
      <c r="M74" s="30">
        <f t="shared" si="29"/>
        <v>2300</v>
      </c>
      <c r="N74" s="30">
        <f t="shared" si="29"/>
        <v>0</v>
      </c>
      <c r="O74" s="30">
        <f t="shared" si="29"/>
        <v>0</v>
      </c>
      <c r="P74" s="30">
        <f t="shared" si="29"/>
        <v>0</v>
      </c>
      <c r="Q74" s="30">
        <f t="shared" si="29"/>
        <v>0</v>
      </c>
      <c r="IB74" s="32"/>
      <c r="IC74" s="33"/>
    </row>
    <row r="75" spans="1:237" s="16" customFormat="1" ht="11.45" customHeight="1">
      <c r="A75" s="17"/>
      <c r="B75" s="18" t="s">
        <v>29</v>
      </c>
      <c r="C75" s="19"/>
      <c r="D75" s="20"/>
      <c r="E75" s="21"/>
      <c r="F75" s="22">
        <f t="shared" si="28"/>
        <v>11558</v>
      </c>
      <c r="G75" s="23">
        <v>0</v>
      </c>
      <c r="H75" s="22">
        <f t="shared" si="19"/>
        <v>0</v>
      </c>
      <c r="I75" s="22">
        <f t="shared" si="24"/>
        <v>11558</v>
      </c>
      <c r="J75" s="22">
        <v>0</v>
      </c>
      <c r="K75" s="22">
        <v>0</v>
      </c>
      <c r="L75" s="22">
        <f>11558-2300</f>
        <v>9258</v>
      </c>
      <c r="M75" s="22">
        <f>2300</f>
        <v>2300</v>
      </c>
      <c r="N75" s="22">
        <v>0</v>
      </c>
      <c r="O75" s="22">
        <v>0</v>
      </c>
      <c r="P75" s="22">
        <v>0</v>
      </c>
      <c r="Q75" s="22">
        <v>0</v>
      </c>
      <c r="IB75" s="35"/>
      <c r="IC75" s="36"/>
    </row>
    <row r="76" spans="1:237" s="16" customFormat="1" ht="11.45" customHeight="1">
      <c r="A76" s="17"/>
      <c r="B76" s="18" t="s">
        <v>30</v>
      </c>
      <c r="C76" s="19"/>
      <c r="D76" s="20"/>
      <c r="E76" s="21"/>
      <c r="F76" s="22">
        <f t="shared" si="28"/>
        <v>2456</v>
      </c>
      <c r="G76" s="23">
        <v>0</v>
      </c>
      <c r="H76" s="22">
        <v>0</v>
      </c>
      <c r="I76" s="22">
        <f t="shared" si="24"/>
        <v>2456</v>
      </c>
      <c r="J76" s="22">
        <v>0</v>
      </c>
      <c r="K76" s="22">
        <v>0</v>
      </c>
      <c r="L76" s="34">
        <v>2456</v>
      </c>
      <c r="M76" s="34">
        <v>0</v>
      </c>
      <c r="N76" s="22">
        <v>0</v>
      </c>
      <c r="O76" s="22">
        <v>0</v>
      </c>
      <c r="P76" s="22">
        <v>0</v>
      </c>
      <c r="Q76" s="22">
        <v>0</v>
      </c>
      <c r="IB76" s="47"/>
      <c r="IC76" s="48"/>
    </row>
    <row r="77" spans="1:237" s="16" customFormat="1" ht="25.15" customHeight="1">
      <c r="A77" s="25">
        <v>24</v>
      </c>
      <c r="B77" s="26" t="s">
        <v>92</v>
      </c>
      <c r="C77" s="27" t="s">
        <v>93</v>
      </c>
      <c r="D77" s="28" t="s">
        <v>94</v>
      </c>
      <c r="E77" s="29">
        <f>F77</f>
        <v>6500</v>
      </c>
      <c r="F77" s="30">
        <f t="shared" si="28"/>
        <v>6500</v>
      </c>
      <c r="G77" s="31">
        <f>G78</f>
        <v>0</v>
      </c>
      <c r="H77" s="31">
        <f t="shared" ref="H77:H118" si="30">G77+J77</f>
        <v>0</v>
      </c>
      <c r="I77" s="30">
        <f>SUM(K77:O77)</f>
        <v>6500</v>
      </c>
      <c r="J77" s="30">
        <f t="shared" ref="J77:P77" si="31">SUM(J78:J78)</f>
        <v>0</v>
      </c>
      <c r="K77" s="30">
        <f t="shared" si="31"/>
        <v>500</v>
      </c>
      <c r="L77" s="30">
        <f t="shared" si="31"/>
        <v>1500</v>
      </c>
      <c r="M77" s="30">
        <f t="shared" si="31"/>
        <v>1500</v>
      </c>
      <c r="N77" s="30">
        <f t="shared" si="31"/>
        <v>1500</v>
      </c>
      <c r="O77" s="30">
        <f t="shared" si="31"/>
        <v>1500</v>
      </c>
      <c r="P77" s="30">
        <f t="shared" si="31"/>
        <v>0</v>
      </c>
      <c r="Q77" s="30">
        <v>0</v>
      </c>
    </row>
    <row r="78" spans="1:237" s="16" customFormat="1" ht="11.45" customHeight="1">
      <c r="A78" s="17"/>
      <c r="B78" s="18" t="s">
        <v>29</v>
      </c>
      <c r="C78" s="19"/>
      <c r="D78" s="20"/>
      <c r="E78" s="21"/>
      <c r="F78" s="22">
        <f t="shared" si="28"/>
        <v>6500</v>
      </c>
      <c r="G78" s="23">
        <v>0</v>
      </c>
      <c r="H78" s="49">
        <f t="shared" si="30"/>
        <v>0</v>
      </c>
      <c r="I78" s="22">
        <f>SUM(K78:O78)</f>
        <v>6500</v>
      </c>
      <c r="J78" s="22">
        <v>0</v>
      </c>
      <c r="K78" s="22">
        <v>500</v>
      </c>
      <c r="L78" s="22">
        <v>1500</v>
      </c>
      <c r="M78" s="22">
        <v>1500</v>
      </c>
      <c r="N78" s="22">
        <v>1500</v>
      </c>
      <c r="O78" s="22">
        <v>1500</v>
      </c>
      <c r="P78" s="22">
        <v>0</v>
      </c>
      <c r="Q78" s="22">
        <v>0</v>
      </c>
    </row>
    <row r="79" spans="1:237" s="16" customFormat="1" ht="25.15" customHeight="1">
      <c r="A79" s="25">
        <v>25</v>
      </c>
      <c r="B79" s="26" t="s">
        <v>95</v>
      </c>
      <c r="C79" s="27" t="s">
        <v>96</v>
      </c>
      <c r="D79" s="28" t="s">
        <v>97</v>
      </c>
      <c r="E79" s="29">
        <f>F79-F81</f>
        <v>16200.451000000003</v>
      </c>
      <c r="F79" s="30">
        <f>H79+I79+Q79</f>
        <v>18732.582000000002</v>
      </c>
      <c r="G79" s="31">
        <f>G80+G81</f>
        <v>4017.5819999999999</v>
      </c>
      <c r="H79" s="31">
        <f t="shared" si="30"/>
        <v>4017.5819999999999</v>
      </c>
      <c r="I79" s="30">
        <f t="shared" si="24"/>
        <v>6855</v>
      </c>
      <c r="J79" s="30">
        <f t="shared" ref="J79:O79" si="32">SUM(J80:J81)</f>
        <v>0</v>
      </c>
      <c r="K79" s="30">
        <f t="shared" si="32"/>
        <v>0</v>
      </c>
      <c r="L79" s="30">
        <f t="shared" si="32"/>
        <v>0</v>
      </c>
      <c r="M79" s="30">
        <f t="shared" si="32"/>
        <v>0</v>
      </c>
      <c r="N79" s="30">
        <f t="shared" si="32"/>
        <v>4235</v>
      </c>
      <c r="O79" s="30">
        <f t="shared" si="32"/>
        <v>2620</v>
      </c>
      <c r="P79" s="30">
        <f>SUM(P80:P81)</f>
        <v>2620</v>
      </c>
      <c r="Q79" s="30">
        <f>Q80+Q81</f>
        <v>7860</v>
      </c>
    </row>
    <row r="80" spans="1:237" s="16" customFormat="1" ht="11.45" customHeight="1">
      <c r="A80" s="17"/>
      <c r="B80" s="18" t="s">
        <v>29</v>
      </c>
      <c r="C80" s="19"/>
      <c r="D80" s="20"/>
      <c r="E80" s="21"/>
      <c r="F80" s="22">
        <f>G80+I80+J80+Q80</f>
        <v>16200.451000000001</v>
      </c>
      <c r="G80" s="23">
        <v>3100.451</v>
      </c>
      <c r="H80" s="22">
        <f t="shared" si="30"/>
        <v>3100.451</v>
      </c>
      <c r="I80" s="22">
        <f t="shared" si="24"/>
        <v>5240</v>
      </c>
      <c r="J80" s="22">
        <v>0</v>
      </c>
      <c r="K80" s="22">
        <v>0</v>
      </c>
      <c r="L80" s="22">
        <v>0</v>
      </c>
      <c r="M80" s="22">
        <v>0</v>
      </c>
      <c r="N80" s="22">
        <v>2620</v>
      </c>
      <c r="O80" s="22">
        <v>2620</v>
      </c>
      <c r="P80" s="22">
        <v>2620</v>
      </c>
      <c r="Q80" s="22">
        <v>7860</v>
      </c>
    </row>
    <row r="81" spans="1:17" s="7" customFormat="1" ht="11.45" customHeight="1">
      <c r="A81" s="17"/>
      <c r="B81" s="18" t="s">
        <v>30</v>
      </c>
      <c r="C81" s="19"/>
      <c r="D81" s="20"/>
      <c r="E81" s="21"/>
      <c r="F81" s="22">
        <f t="shared" si="28"/>
        <v>2532.1309999999999</v>
      </c>
      <c r="G81" s="23">
        <v>917.13099999999997</v>
      </c>
      <c r="H81" s="22">
        <f t="shared" si="30"/>
        <v>917.13099999999997</v>
      </c>
      <c r="I81" s="22">
        <f t="shared" si="24"/>
        <v>1615</v>
      </c>
      <c r="J81" s="22">
        <v>0</v>
      </c>
      <c r="K81" s="22">
        <v>0</v>
      </c>
      <c r="L81" s="24">
        <v>0</v>
      </c>
      <c r="M81" s="24">
        <v>0</v>
      </c>
      <c r="N81" s="22">
        <v>1615</v>
      </c>
      <c r="O81" s="22">
        <v>0</v>
      </c>
      <c r="P81" s="22">
        <v>0</v>
      </c>
      <c r="Q81" s="22">
        <v>0</v>
      </c>
    </row>
    <row r="82" spans="1:17" s="16" customFormat="1" ht="25.15" customHeight="1">
      <c r="A82" s="25">
        <v>26</v>
      </c>
      <c r="B82" s="26" t="s">
        <v>98</v>
      </c>
      <c r="C82" s="27" t="s">
        <v>99</v>
      </c>
      <c r="D82" s="28" t="s">
        <v>100</v>
      </c>
      <c r="E82" s="29">
        <f>F82</f>
        <v>180450</v>
      </c>
      <c r="F82" s="30">
        <f t="shared" si="28"/>
        <v>180450</v>
      </c>
      <c r="G82" s="31">
        <f>G83+G84</f>
        <v>0</v>
      </c>
      <c r="H82" s="31">
        <f t="shared" si="30"/>
        <v>0</v>
      </c>
      <c r="I82" s="31">
        <f>SUM(K82:O82)</f>
        <v>111650</v>
      </c>
      <c r="J82" s="30">
        <f t="shared" ref="J82:Q82" si="33">SUM(J83:J84)</f>
        <v>0</v>
      </c>
      <c r="K82" s="30">
        <f t="shared" si="33"/>
        <v>0</v>
      </c>
      <c r="L82" s="30">
        <f t="shared" si="33"/>
        <v>2650</v>
      </c>
      <c r="M82" s="30">
        <f t="shared" si="33"/>
        <v>5000</v>
      </c>
      <c r="N82" s="30">
        <f t="shared" si="33"/>
        <v>52000</v>
      </c>
      <c r="O82" s="30">
        <f t="shared" si="33"/>
        <v>52000</v>
      </c>
      <c r="P82" s="30">
        <f t="shared" si="33"/>
        <v>68800</v>
      </c>
      <c r="Q82" s="30">
        <f t="shared" si="33"/>
        <v>68800</v>
      </c>
    </row>
    <row r="83" spans="1:17" s="16" customFormat="1" ht="11.45" customHeight="1">
      <c r="A83" s="17"/>
      <c r="B83" s="18" t="s">
        <v>29</v>
      </c>
      <c r="C83" s="22"/>
      <c r="D83" s="22"/>
      <c r="E83" s="22"/>
      <c r="F83" s="49">
        <f t="shared" si="28"/>
        <v>70693.902000000002</v>
      </c>
      <c r="G83" s="22">
        <v>0</v>
      </c>
      <c r="H83" s="22">
        <f t="shared" si="30"/>
        <v>0</v>
      </c>
      <c r="I83" s="22">
        <f>SUM(K83:O83)</f>
        <v>43845.122000000003</v>
      </c>
      <c r="J83" s="50">
        <v>0</v>
      </c>
      <c r="K83" s="51">
        <v>0</v>
      </c>
      <c r="L83" s="52">
        <f>858.536+450</f>
        <v>1308.5360000000001</v>
      </c>
      <c r="M83" s="53">
        <v>1951.22</v>
      </c>
      <c r="N83" s="53">
        <v>20292.683000000001</v>
      </c>
      <c r="O83" s="53">
        <v>20292.683000000001</v>
      </c>
      <c r="P83" s="53">
        <v>26848.78</v>
      </c>
      <c r="Q83" s="54">
        <v>26848.78</v>
      </c>
    </row>
    <row r="84" spans="1:17" s="16" customFormat="1" ht="11.45" customHeight="1">
      <c r="A84" s="17"/>
      <c r="B84" s="18" t="s">
        <v>41</v>
      </c>
      <c r="C84" s="22"/>
      <c r="D84" s="22"/>
      <c r="E84" s="22"/>
      <c r="F84" s="49">
        <f t="shared" si="28"/>
        <v>109756.098</v>
      </c>
      <c r="G84" s="22">
        <v>0</v>
      </c>
      <c r="H84" s="22">
        <f t="shared" si="30"/>
        <v>0</v>
      </c>
      <c r="I84" s="22">
        <f>SUM(K84:O84)</f>
        <v>67804.877999999997</v>
      </c>
      <c r="J84" s="50">
        <v>0</v>
      </c>
      <c r="K84" s="50">
        <v>0</v>
      </c>
      <c r="L84" s="53">
        <v>1341.4639999999999</v>
      </c>
      <c r="M84" s="53">
        <v>3048.78</v>
      </c>
      <c r="N84" s="53">
        <v>31707.316999999999</v>
      </c>
      <c r="O84" s="53">
        <v>31707.316999999999</v>
      </c>
      <c r="P84" s="53">
        <v>41951.22</v>
      </c>
      <c r="Q84" s="54">
        <v>41951.22</v>
      </c>
    </row>
    <row r="85" spans="1:17" s="16" customFormat="1" ht="27" customHeight="1">
      <c r="A85" s="25">
        <v>27</v>
      </c>
      <c r="B85" s="26" t="s">
        <v>101</v>
      </c>
      <c r="C85" s="27" t="s">
        <v>51</v>
      </c>
      <c r="D85" s="28" t="s">
        <v>102</v>
      </c>
      <c r="E85" s="29">
        <f>F85</f>
        <v>330000</v>
      </c>
      <c r="F85" s="30">
        <f t="shared" si="28"/>
        <v>330000</v>
      </c>
      <c r="G85" s="31">
        <f>G86+G87</f>
        <v>0</v>
      </c>
      <c r="H85" s="31">
        <f t="shared" si="30"/>
        <v>0</v>
      </c>
      <c r="I85" s="31">
        <f t="shared" ref="I85:I101" si="34">SUM(K85:O85)</f>
        <v>90000</v>
      </c>
      <c r="J85" s="30">
        <f>SUM(J86:J87)</f>
        <v>0</v>
      </c>
      <c r="K85" s="30">
        <f t="shared" ref="K85:Q85" si="35">SUM(K86:K87)</f>
        <v>0</v>
      </c>
      <c r="L85" s="30">
        <f t="shared" si="35"/>
        <v>0</v>
      </c>
      <c r="M85" s="30">
        <f>SUM(M86:M87)</f>
        <v>4000</v>
      </c>
      <c r="N85" s="30">
        <f t="shared" si="35"/>
        <v>5000</v>
      </c>
      <c r="O85" s="30">
        <f t="shared" si="35"/>
        <v>81000</v>
      </c>
      <c r="P85" s="30">
        <f t="shared" si="35"/>
        <v>240000</v>
      </c>
      <c r="Q85" s="30">
        <f t="shared" si="35"/>
        <v>240000</v>
      </c>
    </row>
    <row r="86" spans="1:17" s="16" customFormat="1" ht="11.45" customHeight="1">
      <c r="A86" s="17"/>
      <c r="B86" s="18" t="s">
        <v>29</v>
      </c>
      <c r="C86" s="22"/>
      <c r="D86" s="22"/>
      <c r="E86" s="22"/>
      <c r="F86" s="49">
        <f t="shared" si="28"/>
        <v>121301</v>
      </c>
      <c r="G86" s="22">
        <v>0</v>
      </c>
      <c r="H86" s="22">
        <f t="shared" si="30"/>
        <v>0</v>
      </c>
      <c r="I86" s="22">
        <f t="shared" si="34"/>
        <v>39512</v>
      </c>
      <c r="J86" s="50">
        <v>0</v>
      </c>
      <c r="K86" s="51">
        <v>0</v>
      </c>
      <c r="L86" s="53">
        <v>0</v>
      </c>
      <c r="M86" s="52">
        <v>4000</v>
      </c>
      <c r="N86" s="52">
        <v>5000</v>
      </c>
      <c r="O86" s="52">
        <f>19000+11512</f>
        <v>30512</v>
      </c>
      <c r="P86" s="52">
        <v>81789</v>
      </c>
      <c r="Q86" s="52">
        <v>81789</v>
      </c>
    </row>
    <row r="87" spans="1:17" s="16" customFormat="1" ht="11.45" customHeight="1">
      <c r="A87" s="17"/>
      <c r="B87" s="18" t="s">
        <v>41</v>
      </c>
      <c r="C87" s="22"/>
      <c r="D87" s="22"/>
      <c r="E87" s="22"/>
      <c r="F87" s="49">
        <f t="shared" si="28"/>
        <v>208699</v>
      </c>
      <c r="G87" s="22">
        <v>0</v>
      </c>
      <c r="H87" s="22">
        <f t="shared" si="30"/>
        <v>0</v>
      </c>
      <c r="I87" s="22">
        <f t="shared" si="34"/>
        <v>50488</v>
      </c>
      <c r="J87" s="50">
        <v>0</v>
      </c>
      <c r="K87" s="50">
        <v>0</v>
      </c>
      <c r="L87" s="53">
        <v>0</v>
      </c>
      <c r="M87" s="52">
        <v>0</v>
      </c>
      <c r="N87" s="52">
        <v>0</v>
      </c>
      <c r="O87" s="52">
        <v>50488</v>
      </c>
      <c r="P87" s="52">
        <v>158211</v>
      </c>
      <c r="Q87" s="52">
        <v>158211</v>
      </c>
    </row>
    <row r="88" spans="1:17" s="16" customFormat="1" ht="24.75" customHeight="1">
      <c r="A88" s="25">
        <v>28</v>
      </c>
      <c r="B88" s="44" t="s">
        <v>103</v>
      </c>
      <c r="C88" s="27" t="s">
        <v>51</v>
      </c>
      <c r="D88" s="28" t="s">
        <v>104</v>
      </c>
      <c r="E88" s="29">
        <f>F88</f>
        <v>28271.353999999999</v>
      </c>
      <c r="F88" s="30">
        <f>G88+I88+J88+Q88</f>
        <v>28271.353999999999</v>
      </c>
      <c r="G88" s="31">
        <f>G89+G90</f>
        <v>0</v>
      </c>
      <c r="H88" s="31">
        <f>G88+J88</f>
        <v>0</v>
      </c>
      <c r="I88" s="31">
        <f>SUM(K88:O88)</f>
        <v>28271.353999999999</v>
      </c>
      <c r="J88" s="30">
        <f t="shared" ref="J88:P88" si="36">SUM(J89:J90)</f>
        <v>0</v>
      </c>
      <c r="K88" s="30">
        <f t="shared" si="36"/>
        <v>0</v>
      </c>
      <c r="L88" s="30">
        <f t="shared" si="36"/>
        <v>1647.6</v>
      </c>
      <c r="M88" s="30">
        <f t="shared" si="36"/>
        <v>4937.22</v>
      </c>
      <c r="N88" s="30">
        <f t="shared" si="36"/>
        <v>21686.534</v>
      </c>
      <c r="O88" s="30">
        <f t="shared" si="36"/>
        <v>0</v>
      </c>
      <c r="P88" s="30">
        <f t="shared" si="36"/>
        <v>0</v>
      </c>
      <c r="Q88" s="30">
        <f>SUM(Q89:Q90)</f>
        <v>0</v>
      </c>
    </row>
    <row r="89" spans="1:17" s="16" customFormat="1" ht="11.45" customHeight="1">
      <c r="A89" s="17"/>
      <c r="B89" s="18" t="s">
        <v>29</v>
      </c>
      <c r="C89" s="22"/>
      <c r="D89" s="22"/>
      <c r="E89" s="22"/>
      <c r="F89" s="49">
        <f>G89+I89+J89+Q89</f>
        <v>8734.24</v>
      </c>
      <c r="G89" s="22">
        <v>0</v>
      </c>
      <c r="H89" s="22">
        <f>G89+J89</f>
        <v>0</v>
      </c>
      <c r="I89" s="22">
        <f>SUM(K89:O89)</f>
        <v>8734.24</v>
      </c>
      <c r="J89" s="50">
        <v>0</v>
      </c>
      <c r="K89" s="50">
        <v>0</v>
      </c>
      <c r="L89" s="53">
        <v>509.01499999999999</v>
      </c>
      <c r="M89" s="53">
        <v>1525.32</v>
      </c>
      <c r="N89" s="52">
        <v>6699.9049999999997</v>
      </c>
      <c r="O89" s="52">
        <v>0</v>
      </c>
      <c r="P89" s="53">
        <v>0</v>
      </c>
      <c r="Q89" s="55">
        <v>0</v>
      </c>
    </row>
    <row r="90" spans="1:17" s="16" customFormat="1" ht="11.45" customHeight="1">
      <c r="A90" s="17"/>
      <c r="B90" s="18" t="s">
        <v>41</v>
      </c>
      <c r="C90" s="22"/>
      <c r="D90" s="22"/>
      <c r="E90" s="22"/>
      <c r="F90" s="49">
        <f>G90+I90+J90+Q90</f>
        <v>19537.114000000001</v>
      </c>
      <c r="G90" s="22">
        <v>0</v>
      </c>
      <c r="H90" s="22">
        <f>G90+J90</f>
        <v>0</v>
      </c>
      <c r="I90" s="22">
        <f>SUM(K90:O90)</f>
        <v>19537.114000000001</v>
      </c>
      <c r="J90" s="50">
        <v>0</v>
      </c>
      <c r="K90" s="50">
        <v>0</v>
      </c>
      <c r="L90" s="53">
        <v>1138.585</v>
      </c>
      <c r="M90" s="53">
        <v>3411.9</v>
      </c>
      <c r="N90" s="52">
        <v>14986.629000000001</v>
      </c>
      <c r="O90" s="52">
        <v>0</v>
      </c>
      <c r="P90" s="53">
        <v>0</v>
      </c>
      <c r="Q90" s="55">
        <v>0</v>
      </c>
    </row>
    <row r="91" spans="1:17" s="16" customFormat="1" ht="25.15" customHeight="1">
      <c r="A91" s="25">
        <v>29</v>
      </c>
      <c r="B91" s="44" t="s">
        <v>105</v>
      </c>
      <c r="C91" s="27" t="s">
        <v>51</v>
      </c>
      <c r="D91" s="56">
        <v>2019</v>
      </c>
      <c r="E91" s="29">
        <f>F91</f>
        <v>21000</v>
      </c>
      <c r="F91" s="30">
        <f t="shared" si="28"/>
        <v>21000</v>
      </c>
      <c r="G91" s="31">
        <f>G92+G93</f>
        <v>0</v>
      </c>
      <c r="H91" s="31">
        <f t="shared" si="30"/>
        <v>0</v>
      </c>
      <c r="I91" s="31">
        <f t="shared" si="34"/>
        <v>21000</v>
      </c>
      <c r="J91" s="30">
        <f t="shared" ref="J91:P91" si="37">SUM(J92:J93)</f>
        <v>0</v>
      </c>
      <c r="K91" s="30">
        <f t="shared" si="37"/>
        <v>0</v>
      </c>
      <c r="L91" s="30">
        <f t="shared" si="37"/>
        <v>0</v>
      </c>
      <c r="M91" s="30">
        <f t="shared" si="37"/>
        <v>0</v>
      </c>
      <c r="N91" s="30">
        <f t="shared" si="37"/>
        <v>0</v>
      </c>
      <c r="O91" s="30">
        <f t="shared" si="37"/>
        <v>21000</v>
      </c>
      <c r="P91" s="30">
        <f t="shared" si="37"/>
        <v>0</v>
      </c>
      <c r="Q91" s="30">
        <f>SUM(Q92:Q93)</f>
        <v>0</v>
      </c>
    </row>
    <row r="92" spans="1:17" s="16" customFormat="1" ht="11.45" customHeight="1">
      <c r="A92" s="17"/>
      <c r="B92" s="18" t="s">
        <v>29</v>
      </c>
      <c r="C92" s="22"/>
      <c r="D92" s="22"/>
      <c r="E92" s="22"/>
      <c r="F92" s="49">
        <f t="shared" si="28"/>
        <v>6487.8050000000003</v>
      </c>
      <c r="G92" s="22">
        <v>0</v>
      </c>
      <c r="H92" s="22">
        <f t="shared" si="30"/>
        <v>0</v>
      </c>
      <c r="I92" s="22">
        <f t="shared" si="34"/>
        <v>6487.8050000000003</v>
      </c>
      <c r="J92" s="50">
        <v>0</v>
      </c>
      <c r="K92" s="51">
        <v>0</v>
      </c>
      <c r="L92" s="53">
        <v>0</v>
      </c>
      <c r="M92" s="53">
        <v>0</v>
      </c>
      <c r="N92" s="52">
        <v>0</v>
      </c>
      <c r="O92" s="52">
        <f>21000-14512.195</f>
        <v>6487.8050000000003</v>
      </c>
      <c r="P92" s="53">
        <v>0</v>
      </c>
      <c r="Q92" s="50">
        <v>0</v>
      </c>
    </row>
    <row r="93" spans="1:17" s="16" customFormat="1" ht="11.45" customHeight="1">
      <c r="A93" s="17"/>
      <c r="B93" s="18" t="s">
        <v>41</v>
      </c>
      <c r="C93" s="22"/>
      <c r="D93" s="22"/>
      <c r="E93" s="22"/>
      <c r="F93" s="49">
        <f t="shared" si="28"/>
        <v>14512.195</v>
      </c>
      <c r="G93" s="22">
        <v>0</v>
      </c>
      <c r="H93" s="22">
        <f t="shared" si="30"/>
        <v>0</v>
      </c>
      <c r="I93" s="22">
        <f t="shared" si="34"/>
        <v>14512.195</v>
      </c>
      <c r="J93" s="50">
        <v>0</v>
      </c>
      <c r="K93" s="50">
        <v>0</v>
      </c>
      <c r="L93" s="53">
        <v>0</v>
      </c>
      <c r="M93" s="53">
        <v>0</v>
      </c>
      <c r="N93" s="52">
        <v>0</v>
      </c>
      <c r="O93" s="52">
        <v>14512.195</v>
      </c>
      <c r="P93" s="53">
        <v>0</v>
      </c>
      <c r="Q93" s="50">
        <v>0</v>
      </c>
    </row>
    <row r="94" spans="1:17" s="16" customFormat="1" ht="25.15" customHeight="1">
      <c r="A94" s="25">
        <v>30</v>
      </c>
      <c r="B94" s="44" t="s">
        <v>106</v>
      </c>
      <c r="C94" s="27" t="s">
        <v>51</v>
      </c>
      <c r="D94" s="56">
        <v>2018</v>
      </c>
      <c r="E94" s="29">
        <f>F94</f>
        <v>7900</v>
      </c>
      <c r="F94" s="30">
        <f t="shared" si="28"/>
        <v>7900</v>
      </c>
      <c r="G94" s="31">
        <f>G95+G96</f>
        <v>0</v>
      </c>
      <c r="H94" s="31">
        <f t="shared" si="30"/>
        <v>0</v>
      </c>
      <c r="I94" s="31">
        <f t="shared" si="34"/>
        <v>7900</v>
      </c>
      <c r="J94" s="30">
        <f t="shared" ref="J94:P94" si="38">SUM(J95:J96)</f>
        <v>0</v>
      </c>
      <c r="K94" s="30">
        <f t="shared" si="38"/>
        <v>0</v>
      </c>
      <c r="L94" s="30">
        <f t="shared" si="38"/>
        <v>0</v>
      </c>
      <c r="M94" s="30">
        <f t="shared" si="38"/>
        <v>0</v>
      </c>
      <c r="N94" s="30">
        <f>SUM(N95:N96)</f>
        <v>7900</v>
      </c>
      <c r="O94" s="30">
        <f t="shared" si="38"/>
        <v>0</v>
      </c>
      <c r="P94" s="30">
        <f t="shared" si="38"/>
        <v>0</v>
      </c>
      <c r="Q94" s="30">
        <f>SUM(Q95:Q96)</f>
        <v>0</v>
      </c>
    </row>
    <row r="95" spans="1:17" s="16" customFormat="1" ht="11.45" customHeight="1">
      <c r="A95" s="17"/>
      <c r="B95" s="18" t="s">
        <v>29</v>
      </c>
      <c r="C95" s="22"/>
      <c r="D95" s="22"/>
      <c r="E95" s="22"/>
      <c r="F95" s="49">
        <f t="shared" si="28"/>
        <v>2440.6504000000004</v>
      </c>
      <c r="G95" s="22">
        <v>0</v>
      </c>
      <c r="H95" s="22">
        <f t="shared" si="30"/>
        <v>0</v>
      </c>
      <c r="I95" s="22">
        <f t="shared" si="34"/>
        <v>2440.6504000000004</v>
      </c>
      <c r="J95" s="50">
        <v>0</v>
      </c>
      <c r="K95" s="51">
        <v>0</v>
      </c>
      <c r="L95" s="53">
        <v>0</v>
      </c>
      <c r="M95" s="53">
        <v>0</v>
      </c>
      <c r="N95" s="52">
        <f>7900-N96</f>
        <v>2440.6504000000004</v>
      </c>
      <c r="O95" s="53">
        <v>0</v>
      </c>
      <c r="P95" s="53">
        <v>0</v>
      </c>
      <c r="Q95" s="50">
        <v>0</v>
      </c>
    </row>
    <row r="96" spans="1:17" s="16" customFormat="1" ht="11.45" customHeight="1">
      <c r="A96" s="17"/>
      <c r="B96" s="18" t="s">
        <v>41</v>
      </c>
      <c r="C96" s="22"/>
      <c r="D96" s="22"/>
      <c r="E96" s="22"/>
      <c r="F96" s="49">
        <f t="shared" si="28"/>
        <v>5459.3495999999996</v>
      </c>
      <c r="G96" s="22">
        <v>0</v>
      </c>
      <c r="H96" s="22">
        <f t="shared" si="30"/>
        <v>0</v>
      </c>
      <c r="I96" s="22">
        <f t="shared" si="34"/>
        <v>5459.3495999999996</v>
      </c>
      <c r="J96" s="50">
        <v>0</v>
      </c>
      <c r="K96" s="50">
        <v>0</v>
      </c>
      <c r="L96" s="53">
        <v>0</v>
      </c>
      <c r="M96" s="53">
        <v>0</v>
      </c>
      <c r="N96" s="52">
        <v>5459.3495999999996</v>
      </c>
      <c r="O96" s="53">
        <v>0</v>
      </c>
      <c r="P96" s="53">
        <v>0</v>
      </c>
      <c r="Q96" s="50">
        <v>0</v>
      </c>
    </row>
    <row r="97" spans="1:237" s="16" customFormat="1" ht="25.15" customHeight="1">
      <c r="A97" s="25">
        <v>31</v>
      </c>
      <c r="B97" s="44" t="s">
        <v>107</v>
      </c>
      <c r="C97" s="27" t="s">
        <v>51</v>
      </c>
      <c r="D97" s="28" t="s">
        <v>108</v>
      </c>
      <c r="E97" s="29">
        <f>F97</f>
        <v>20000</v>
      </c>
      <c r="F97" s="30">
        <f t="shared" si="28"/>
        <v>20000</v>
      </c>
      <c r="G97" s="31">
        <f>G98+G99</f>
        <v>0</v>
      </c>
      <c r="H97" s="31">
        <f t="shared" si="30"/>
        <v>0</v>
      </c>
      <c r="I97" s="31">
        <f t="shared" si="34"/>
        <v>20000</v>
      </c>
      <c r="J97" s="30">
        <f t="shared" ref="J97:Q97" si="39">SUM(J98:J99)</f>
        <v>0</v>
      </c>
      <c r="K97" s="30">
        <f t="shared" si="39"/>
        <v>0</v>
      </c>
      <c r="L97" s="30">
        <f t="shared" si="39"/>
        <v>0</v>
      </c>
      <c r="M97" s="30">
        <f t="shared" si="39"/>
        <v>0</v>
      </c>
      <c r="N97" s="30">
        <f t="shared" si="39"/>
        <v>16000</v>
      </c>
      <c r="O97" s="30">
        <f t="shared" si="39"/>
        <v>4000</v>
      </c>
      <c r="P97" s="30">
        <f t="shared" si="39"/>
        <v>0</v>
      </c>
      <c r="Q97" s="30">
        <f t="shared" si="39"/>
        <v>0</v>
      </c>
    </row>
    <row r="98" spans="1:237" s="16" customFormat="1" ht="11.45" customHeight="1">
      <c r="A98" s="17"/>
      <c r="B98" s="18" t="s">
        <v>29</v>
      </c>
      <c r="C98" s="22"/>
      <c r="D98" s="22"/>
      <c r="E98" s="22"/>
      <c r="F98" s="49">
        <f t="shared" si="28"/>
        <v>6667</v>
      </c>
      <c r="G98" s="22">
        <v>0</v>
      </c>
      <c r="H98" s="22">
        <f t="shared" si="30"/>
        <v>0</v>
      </c>
      <c r="I98" s="22">
        <f t="shared" si="34"/>
        <v>6667</v>
      </c>
      <c r="J98" s="50">
        <v>0</v>
      </c>
      <c r="K98" s="51">
        <v>0</v>
      </c>
      <c r="L98" s="53">
        <v>0</v>
      </c>
      <c r="M98" s="53">
        <v>0</v>
      </c>
      <c r="N98" s="52">
        <v>4000</v>
      </c>
      <c r="O98" s="52">
        <v>2667</v>
      </c>
      <c r="P98" s="53">
        <v>0</v>
      </c>
      <c r="Q98" s="50">
        <v>0</v>
      </c>
    </row>
    <row r="99" spans="1:237" s="16" customFormat="1" ht="11.45" customHeight="1">
      <c r="A99" s="17"/>
      <c r="B99" s="18" t="s">
        <v>41</v>
      </c>
      <c r="C99" s="22"/>
      <c r="D99" s="22"/>
      <c r="E99" s="22"/>
      <c r="F99" s="49">
        <f t="shared" si="28"/>
        <v>13333</v>
      </c>
      <c r="G99" s="22">
        <v>0</v>
      </c>
      <c r="H99" s="22">
        <f t="shared" si="30"/>
        <v>0</v>
      </c>
      <c r="I99" s="22">
        <f t="shared" si="34"/>
        <v>13333</v>
      </c>
      <c r="J99" s="50">
        <v>0</v>
      </c>
      <c r="K99" s="50">
        <v>0</v>
      </c>
      <c r="L99" s="53">
        <v>0</v>
      </c>
      <c r="M99" s="53">
        <v>0</v>
      </c>
      <c r="N99" s="52">
        <v>12000</v>
      </c>
      <c r="O99" s="52">
        <v>1333</v>
      </c>
      <c r="P99" s="53">
        <v>0</v>
      </c>
      <c r="Q99" s="50">
        <v>0</v>
      </c>
    </row>
    <row r="100" spans="1:237" s="16" customFormat="1" ht="23.45" customHeight="1">
      <c r="A100" s="25">
        <v>32</v>
      </c>
      <c r="B100" s="26" t="s">
        <v>109</v>
      </c>
      <c r="C100" s="27" t="s">
        <v>110</v>
      </c>
      <c r="D100" s="28" t="s">
        <v>33</v>
      </c>
      <c r="E100" s="29">
        <f>F100</f>
        <v>33000</v>
      </c>
      <c r="F100" s="30">
        <f t="shared" si="28"/>
        <v>33000</v>
      </c>
      <c r="G100" s="31">
        <f>G101</f>
        <v>0</v>
      </c>
      <c r="H100" s="31">
        <f t="shared" si="30"/>
        <v>0</v>
      </c>
      <c r="I100" s="30">
        <f t="shared" si="34"/>
        <v>33000</v>
      </c>
      <c r="J100" s="30">
        <f t="shared" ref="J100:Q100" si="40">J101</f>
        <v>0</v>
      </c>
      <c r="K100" s="30">
        <f t="shared" si="40"/>
        <v>0</v>
      </c>
      <c r="L100" s="30">
        <f t="shared" si="40"/>
        <v>0</v>
      </c>
      <c r="M100" s="30">
        <f t="shared" si="40"/>
        <v>0</v>
      </c>
      <c r="N100" s="30">
        <f t="shared" si="40"/>
        <v>10000</v>
      </c>
      <c r="O100" s="30">
        <f t="shared" si="40"/>
        <v>23000</v>
      </c>
      <c r="P100" s="30">
        <f t="shared" si="40"/>
        <v>0</v>
      </c>
      <c r="Q100" s="30">
        <f t="shared" si="40"/>
        <v>0</v>
      </c>
      <c r="IB100" s="32"/>
      <c r="IC100" s="33"/>
    </row>
    <row r="101" spans="1:237" s="16" customFormat="1" ht="11.45" customHeight="1">
      <c r="A101" s="17"/>
      <c r="B101" s="18" t="s">
        <v>29</v>
      </c>
      <c r="C101" s="19"/>
      <c r="D101" s="20"/>
      <c r="E101" s="21"/>
      <c r="F101" s="22">
        <f t="shared" si="28"/>
        <v>33000</v>
      </c>
      <c r="G101" s="23">
        <v>0</v>
      </c>
      <c r="H101" s="22">
        <f t="shared" si="30"/>
        <v>0</v>
      </c>
      <c r="I101" s="22">
        <f t="shared" si="34"/>
        <v>33000</v>
      </c>
      <c r="J101" s="22">
        <v>0</v>
      </c>
      <c r="K101" s="22">
        <v>0</v>
      </c>
      <c r="L101" s="34">
        <v>0</v>
      </c>
      <c r="M101" s="34">
        <v>0</v>
      </c>
      <c r="N101" s="22">
        <v>10000</v>
      </c>
      <c r="O101" s="22">
        <v>23000</v>
      </c>
      <c r="P101" s="22">
        <v>0</v>
      </c>
      <c r="Q101" s="22">
        <v>0</v>
      </c>
      <c r="IB101" s="35"/>
      <c r="IC101" s="36"/>
    </row>
    <row r="102" spans="1:237" s="16" customFormat="1" ht="24" customHeight="1">
      <c r="A102" s="25">
        <v>33</v>
      </c>
      <c r="B102" s="44" t="s">
        <v>111</v>
      </c>
      <c r="C102" s="27" t="s">
        <v>43</v>
      </c>
      <c r="D102" s="56">
        <v>2020</v>
      </c>
      <c r="E102" s="29">
        <f>F102-F105</f>
        <v>29778.627999999997</v>
      </c>
      <c r="F102" s="30">
        <f t="shared" si="28"/>
        <v>32090.982999999997</v>
      </c>
      <c r="G102" s="31">
        <f>G103+G104+G105</f>
        <v>0</v>
      </c>
      <c r="H102" s="31">
        <f t="shared" si="30"/>
        <v>0</v>
      </c>
      <c r="I102" s="30">
        <f t="shared" ref="I102:I110" si="41">SUM(K102:O102)</f>
        <v>0</v>
      </c>
      <c r="J102" s="30">
        <f>SUM(J103:J105)</f>
        <v>0</v>
      </c>
      <c r="K102" s="30">
        <f t="shared" ref="K102:Q102" si="42">SUM(K103:K105)</f>
        <v>0</v>
      </c>
      <c r="L102" s="30">
        <f t="shared" si="42"/>
        <v>0</v>
      </c>
      <c r="M102" s="30">
        <f t="shared" si="42"/>
        <v>0</v>
      </c>
      <c r="N102" s="30">
        <f t="shared" si="42"/>
        <v>0</v>
      </c>
      <c r="O102" s="30">
        <f t="shared" si="42"/>
        <v>0</v>
      </c>
      <c r="P102" s="30">
        <f t="shared" si="42"/>
        <v>32090.982999999997</v>
      </c>
      <c r="Q102" s="30">
        <f t="shared" si="42"/>
        <v>32090.982999999997</v>
      </c>
    </row>
    <row r="103" spans="1:237" s="16" customFormat="1" ht="11.45" customHeight="1">
      <c r="A103" s="57"/>
      <c r="B103" s="18" t="s">
        <v>29</v>
      </c>
      <c r="C103" s="19"/>
      <c r="D103" s="20"/>
      <c r="E103" s="21"/>
      <c r="F103" s="22">
        <f t="shared" si="28"/>
        <v>9269.0069999999996</v>
      </c>
      <c r="G103" s="23">
        <v>0</v>
      </c>
      <c r="H103" s="22">
        <f t="shared" si="30"/>
        <v>0</v>
      </c>
      <c r="I103" s="22">
        <f t="shared" si="41"/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9269.0069999999996</v>
      </c>
      <c r="Q103" s="22">
        <v>9269.0069999999996</v>
      </c>
    </row>
    <row r="104" spans="1:237" s="16" customFormat="1" ht="11.45" customHeight="1">
      <c r="A104" s="57"/>
      <c r="B104" s="18" t="s">
        <v>41</v>
      </c>
      <c r="C104" s="19"/>
      <c r="D104" s="20"/>
      <c r="E104" s="21"/>
      <c r="F104" s="22">
        <f t="shared" si="28"/>
        <v>20509.620999999999</v>
      </c>
      <c r="G104" s="23">
        <v>0</v>
      </c>
      <c r="H104" s="22">
        <f t="shared" si="30"/>
        <v>0</v>
      </c>
      <c r="I104" s="22">
        <f t="shared" si="41"/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20509.620999999999</v>
      </c>
      <c r="Q104" s="22">
        <v>20509.620999999999</v>
      </c>
    </row>
    <row r="105" spans="1:237" s="16" customFormat="1" ht="11.45" customHeight="1">
      <c r="A105" s="17"/>
      <c r="B105" s="18" t="s">
        <v>30</v>
      </c>
      <c r="C105" s="19"/>
      <c r="D105" s="20"/>
      <c r="E105" s="21"/>
      <c r="F105" s="22">
        <f t="shared" si="28"/>
        <v>2312.355</v>
      </c>
      <c r="G105" s="23">
        <v>0</v>
      </c>
      <c r="H105" s="22">
        <f t="shared" si="30"/>
        <v>0</v>
      </c>
      <c r="I105" s="22">
        <f t="shared" si="41"/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2312.355</v>
      </c>
      <c r="Q105" s="22">
        <v>2312.355</v>
      </c>
    </row>
    <row r="106" spans="1:237" s="16" customFormat="1" ht="24" customHeight="1">
      <c r="A106" s="25">
        <v>34</v>
      </c>
      <c r="B106" s="26" t="s">
        <v>112</v>
      </c>
      <c r="C106" s="27" t="s">
        <v>96</v>
      </c>
      <c r="D106" s="28" t="s">
        <v>113</v>
      </c>
      <c r="E106" s="29">
        <f>F106</f>
        <v>6604</v>
      </c>
      <c r="F106" s="30">
        <f t="shared" si="28"/>
        <v>6604</v>
      </c>
      <c r="G106" s="31">
        <f>G107</f>
        <v>1004</v>
      </c>
      <c r="H106" s="31">
        <f t="shared" si="30"/>
        <v>1004</v>
      </c>
      <c r="I106" s="30">
        <f t="shared" si="41"/>
        <v>0</v>
      </c>
      <c r="J106" s="30">
        <f t="shared" ref="J106:P106" si="43">SUM(J107:J107)</f>
        <v>0</v>
      </c>
      <c r="K106" s="30">
        <f t="shared" si="43"/>
        <v>0</v>
      </c>
      <c r="L106" s="30">
        <f t="shared" si="43"/>
        <v>0</v>
      </c>
      <c r="M106" s="30">
        <f t="shared" si="43"/>
        <v>0</v>
      </c>
      <c r="N106" s="30">
        <f t="shared" si="43"/>
        <v>0</v>
      </c>
      <c r="O106" s="30">
        <f t="shared" si="43"/>
        <v>0</v>
      </c>
      <c r="P106" s="30">
        <f t="shared" si="43"/>
        <v>5600</v>
      </c>
      <c r="Q106" s="30">
        <f>Q107</f>
        <v>5600</v>
      </c>
    </row>
    <row r="107" spans="1:237" s="16" customFormat="1" ht="12.6" customHeight="1">
      <c r="A107" s="17"/>
      <c r="B107" s="18" t="s">
        <v>29</v>
      </c>
      <c r="C107" s="19"/>
      <c r="D107" s="20"/>
      <c r="E107" s="21"/>
      <c r="F107" s="22">
        <f t="shared" si="28"/>
        <v>6604</v>
      </c>
      <c r="G107" s="23">
        <v>1004</v>
      </c>
      <c r="H107" s="49">
        <f t="shared" si="30"/>
        <v>1004</v>
      </c>
      <c r="I107" s="22">
        <f t="shared" si="41"/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5600</v>
      </c>
      <c r="Q107" s="22">
        <v>5600</v>
      </c>
    </row>
    <row r="108" spans="1:237" s="16" customFormat="1" ht="24" customHeight="1">
      <c r="A108" s="25">
        <v>35</v>
      </c>
      <c r="B108" s="41" t="s">
        <v>114</v>
      </c>
      <c r="C108" s="27" t="s">
        <v>43</v>
      </c>
      <c r="D108" s="46" t="s">
        <v>115</v>
      </c>
      <c r="E108" s="29">
        <f>F108-F110</f>
        <v>13650</v>
      </c>
      <c r="F108" s="30">
        <f t="shared" si="28"/>
        <v>16750</v>
      </c>
      <c r="G108" s="31">
        <f>G109+G110</f>
        <v>0</v>
      </c>
      <c r="H108" s="31">
        <f t="shared" si="30"/>
        <v>0</v>
      </c>
      <c r="I108" s="30">
        <f t="shared" si="41"/>
        <v>3000</v>
      </c>
      <c r="J108" s="30">
        <f t="shared" ref="J108:Q108" si="44">SUM(J109:J110)</f>
        <v>0</v>
      </c>
      <c r="K108" s="30">
        <f t="shared" si="44"/>
        <v>0</v>
      </c>
      <c r="L108" s="30">
        <f t="shared" si="44"/>
        <v>0</v>
      </c>
      <c r="M108" s="30">
        <f t="shared" si="44"/>
        <v>3000</v>
      </c>
      <c r="N108" s="30">
        <f t="shared" si="44"/>
        <v>0</v>
      </c>
      <c r="O108" s="30">
        <f t="shared" si="44"/>
        <v>0</v>
      </c>
      <c r="P108" s="30">
        <f t="shared" si="44"/>
        <v>0</v>
      </c>
      <c r="Q108" s="30">
        <f t="shared" si="44"/>
        <v>13750</v>
      </c>
    </row>
    <row r="109" spans="1:237" s="16" customFormat="1" ht="12.6" customHeight="1">
      <c r="A109" s="17"/>
      <c r="B109" s="18" t="s">
        <v>29</v>
      </c>
      <c r="C109" s="19"/>
      <c r="D109" s="20"/>
      <c r="E109" s="21"/>
      <c r="F109" s="22">
        <f t="shared" si="28"/>
        <v>13650</v>
      </c>
      <c r="G109" s="23">
        <v>0</v>
      </c>
      <c r="H109" s="22">
        <f t="shared" si="30"/>
        <v>0</v>
      </c>
      <c r="I109" s="22">
        <f t="shared" si="41"/>
        <v>3000</v>
      </c>
      <c r="J109" s="22">
        <v>0</v>
      </c>
      <c r="K109" s="22">
        <v>0</v>
      </c>
      <c r="L109" s="22">
        <v>0</v>
      </c>
      <c r="M109" s="22">
        <v>3000</v>
      </c>
      <c r="N109" s="22">
        <v>0</v>
      </c>
      <c r="O109" s="22">
        <v>0</v>
      </c>
      <c r="P109" s="22">
        <v>0</v>
      </c>
      <c r="Q109" s="22">
        <v>10650</v>
      </c>
    </row>
    <row r="110" spans="1:237" s="16" customFormat="1" ht="12.6" customHeight="1">
      <c r="A110" s="17"/>
      <c r="B110" s="18" t="s">
        <v>30</v>
      </c>
      <c r="C110" s="19"/>
      <c r="D110" s="20"/>
      <c r="E110" s="21"/>
      <c r="F110" s="22">
        <f t="shared" si="28"/>
        <v>3100</v>
      </c>
      <c r="G110" s="23">
        <v>0</v>
      </c>
      <c r="H110" s="22">
        <f t="shared" si="30"/>
        <v>0</v>
      </c>
      <c r="I110" s="22">
        <f t="shared" si="41"/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3100</v>
      </c>
    </row>
    <row r="111" spans="1:237" s="16" customFormat="1" ht="23.45" customHeight="1">
      <c r="A111" s="25">
        <v>36</v>
      </c>
      <c r="B111" s="44" t="s">
        <v>116</v>
      </c>
      <c r="C111" s="27" t="s">
        <v>76</v>
      </c>
      <c r="D111" s="28" t="s">
        <v>117</v>
      </c>
      <c r="E111" s="29">
        <f>F112+F113</f>
        <v>160540.6</v>
      </c>
      <c r="F111" s="30">
        <f t="shared" si="28"/>
        <v>169228.1</v>
      </c>
      <c r="G111" s="31">
        <f>G112+G113</f>
        <v>0</v>
      </c>
      <c r="H111" s="31">
        <f t="shared" si="30"/>
        <v>0</v>
      </c>
      <c r="I111" s="30">
        <f t="shared" ref="I111:I118" si="45">SUM(K111:O111)</f>
        <v>169228.1</v>
      </c>
      <c r="J111" s="30">
        <f>SUM(J112:J114)</f>
        <v>0</v>
      </c>
      <c r="K111" s="30">
        <f>SUM(K112:K114)</f>
        <v>0</v>
      </c>
      <c r="L111" s="30">
        <f>SUM(L112:L114)</f>
        <v>2448.1</v>
      </c>
      <c r="M111" s="30">
        <f>SUM(M112:M114)</f>
        <v>37747</v>
      </c>
      <c r="N111" s="30">
        <f>SUM(N112:N113)</f>
        <v>56800</v>
      </c>
      <c r="O111" s="30">
        <f>SUM(O112:O114)</f>
        <v>72233</v>
      </c>
      <c r="P111" s="30">
        <f>SUM(P112:P114)</f>
        <v>0</v>
      </c>
      <c r="Q111" s="30">
        <f>SUM(Q112:Q114)</f>
        <v>0</v>
      </c>
    </row>
    <row r="112" spans="1:237" s="16" customFormat="1" ht="11.45" customHeight="1">
      <c r="A112" s="17"/>
      <c r="B112" s="18" t="s">
        <v>29</v>
      </c>
      <c r="C112" s="19"/>
      <c r="D112" s="20"/>
      <c r="E112" s="21"/>
      <c r="F112" s="22">
        <f t="shared" si="28"/>
        <v>62656.088000000003</v>
      </c>
      <c r="G112" s="23">
        <v>0</v>
      </c>
      <c r="H112" s="22">
        <f t="shared" si="30"/>
        <v>0</v>
      </c>
      <c r="I112" s="22">
        <f t="shared" si="45"/>
        <v>62656.088000000003</v>
      </c>
      <c r="J112" s="22">
        <v>0</v>
      </c>
      <c r="K112" s="22">
        <v>0</v>
      </c>
      <c r="L112" s="22">
        <v>841.45399999999995</v>
      </c>
      <c r="M112" s="22">
        <v>11460.291999999999</v>
      </c>
      <c r="N112" s="22">
        <v>22165.853999999999</v>
      </c>
      <c r="O112" s="22">
        <v>28188.488000000001</v>
      </c>
      <c r="P112" s="22">
        <v>0</v>
      </c>
      <c r="Q112" s="22">
        <v>0</v>
      </c>
    </row>
    <row r="113" spans="1:17" s="16" customFormat="1" ht="11.45" customHeight="1">
      <c r="A113" s="17"/>
      <c r="B113" s="18" t="s">
        <v>41</v>
      </c>
      <c r="C113" s="19"/>
      <c r="D113" s="20"/>
      <c r="E113" s="21"/>
      <c r="F113" s="22">
        <f t="shared" si="28"/>
        <v>97884.512000000002</v>
      </c>
      <c r="G113" s="23">
        <v>0</v>
      </c>
      <c r="H113" s="22">
        <f t="shared" si="30"/>
        <v>0</v>
      </c>
      <c r="I113" s="22">
        <f t="shared" si="45"/>
        <v>97884.512000000002</v>
      </c>
      <c r="J113" s="22">
        <v>0</v>
      </c>
      <c r="K113" s="22">
        <v>0</v>
      </c>
      <c r="L113" s="22">
        <v>1299.146</v>
      </c>
      <c r="M113" s="22">
        <v>17906.707999999999</v>
      </c>
      <c r="N113" s="22">
        <v>34634.146000000001</v>
      </c>
      <c r="O113" s="22">
        <v>44044.512000000002</v>
      </c>
      <c r="P113" s="22">
        <v>0</v>
      </c>
      <c r="Q113" s="22">
        <v>0</v>
      </c>
    </row>
    <row r="114" spans="1:17" s="16" customFormat="1" ht="11.45" customHeight="1">
      <c r="A114" s="17"/>
      <c r="B114" s="18" t="s">
        <v>30</v>
      </c>
      <c r="C114" s="19"/>
      <c r="D114" s="20"/>
      <c r="E114" s="21"/>
      <c r="F114" s="22">
        <f t="shared" si="28"/>
        <v>8687.5</v>
      </c>
      <c r="G114" s="23"/>
      <c r="H114" s="22"/>
      <c r="I114" s="22">
        <f t="shared" si="45"/>
        <v>8687.5</v>
      </c>
      <c r="J114" s="22"/>
      <c r="K114" s="22">
        <v>0</v>
      </c>
      <c r="L114" s="22">
        <v>307.5</v>
      </c>
      <c r="M114" s="22">
        <v>8380</v>
      </c>
      <c r="N114" s="22">
        <v>0</v>
      </c>
      <c r="O114" s="22">
        <v>0</v>
      </c>
      <c r="P114" s="22">
        <v>0</v>
      </c>
      <c r="Q114" s="22">
        <v>0</v>
      </c>
    </row>
    <row r="115" spans="1:17" s="16" customFormat="1" ht="24" customHeight="1">
      <c r="A115" s="25">
        <v>37</v>
      </c>
      <c r="B115" s="44" t="s">
        <v>118</v>
      </c>
      <c r="C115" s="27" t="s">
        <v>119</v>
      </c>
      <c r="D115" s="28" t="s">
        <v>66</v>
      </c>
      <c r="E115" s="29">
        <f>F115-F118</f>
        <v>27609.211000000003</v>
      </c>
      <c r="F115" s="30">
        <f t="shared" si="28"/>
        <v>31609.211000000003</v>
      </c>
      <c r="G115" s="31">
        <f>G116+G118</f>
        <v>789</v>
      </c>
      <c r="H115" s="31">
        <f t="shared" si="30"/>
        <v>789</v>
      </c>
      <c r="I115" s="30">
        <f t="shared" si="45"/>
        <v>30820.211000000003</v>
      </c>
      <c r="J115" s="30">
        <f t="shared" ref="J115:P115" si="46">SUM(J116:J118)</f>
        <v>0</v>
      </c>
      <c r="K115" s="31">
        <f t="shared" si="46"/>
        <v>0</v>
      </c>
      <c r="L115" s="30">
        <f t="shared" si="46"/>
        <v>0</v>
      </c>
      <c r="M115" s="30">
        <f t="shared" si="46"/>
        <v>0</v>
      </c>
      <c r="N115" s="30">
        <f t="shared" si="46"/>
        <v>0</v>
      </c>
      <c r="O115" s="30">
        <f t="shared" si="46"/>
        <v>30820.211000000003</v>
      </c>
      <c r="P115" s="30">
        <f t="shared" si="46"/>
        <v>0</v>
      </c>
      <c r="Q115" s="30">
        <f>SUM(Q116:Q118)</f>
        <v>0</v>
      </c>
    </row>
    <row r="116" spans="1:17" s="16" customFormat="1" ht="12.6" customHeight="1">
      <c r="A116" s="17"/>
      <c r="B116" s="18" t="s">
        <v>29</v>
      </c>
      <c r="C116" s="19"/>
      <c r="D116" s="20"/>
      <c r="E116" s="21"/>
      <c r="F116" s="22">
        <f t="shared" si="28"/>
        <v>9074.9189999999999</v>
      </c>
      <c r="G116" s="23">
        <v>789</v>
      </c>
      <c r="H116" s="22">
        <f t="shared" si="30"/>
        <v>789</v>
      </c>
      <c r="I116" s="22">
        <f t="shared" si="45"/>
        <v>8285.9189999999999</v>
      </c>
      <c r="J116" s="22">
        <v>0</v>
      </c>
      <c r="K116" s="22">
        <v>0</v>
      </c>
      <c r="L116" s="22">
        <v>0</v>
      </c>
      <c r="M116" s="58">
        <v>0</v>
      </c>
      <c r="N116" s="58">
        <v>0</v>
      </c>
      <c r="O116" s="22">
        <v>8285.9189999999999</v>
      </c>
      <c r="P116" s="22">
        <v>0</v>
      </c>
      <c r="Q116" s="22">
        <v>0</v>
      </c>
    </row>
    <row r="117" spans="1:17" s="16" customFormat="1" ht="12.6" customHeight="1">
      <c r="A117" s="17"/>
      <c r="B117" s="18" t="s">
        <v>41</v>
      </c>
      <c r="C117" s="19"/>
      <c r="D117" s="20"/>
      <c r="E117" s="21"/>
      <c r="F117" s="22">
        <f t="shared" si="28"/>
        <v>18534.292000000001</v>
      </c>
      <c r="G117" s="23"/>
      <c r="H117" s="22"/>
      <c r="I117" s="22">
        <f t="shared" si="45"/>
        <v>18534.292000000001</v>
      </c>
      <c r="J117" s="22"/>
      <c r="K117" s="22">
        <v>0</v>
      </c>
      <c r="L117" s="22">
        <v>0</v>
      </c>
      <c r="M117" s="58">
        <v>0</v>
      </c>
      <c r="N117" s="58">
        <v>0</v>
      </c>
      <c r="O117" s="22">
        <v>18534.292000000001</v>
      </c>
      <c r="P117" s="22">
        <v>0</v>
      </c>
      <c r="Q117" s="22">
        <v>0</v>
      </c>
    </row>
    <row r="118" spans="1:17" s="16" customFormat="1" ht="12.6" customHeight="1">
      <c r="A118" s="17"/>
      <c r="B118" s="18" t="s">
        <v>30</v>
      </c>
      <c r="C118" s="19"/>
      <c r="D118" s="20"/>
      <c r="E118" s="21"/>
      <c r="F118" s="22">
        <f t="shared" si="28"/>
        <v>4000</v>
      </c>
      <c r="G118" s="23">
        <v>0</v>
      </c>
      <c r="H118" s="22">
        <f t="shared" si="30"/>
        <v>0</v>
      </c>
      <c r="I118" s="22">
        <f t="shared" si="45"/>
        <v>4000</v>
      </c>
      <c r="J118" s="22">
        <v>0</v>
      </c>
      <c r="K118" s="22">
        <v>0</v>
      </c>
      <c r="L118" s="22">
        <v>0</v>
      </c>
      <c r="M118" s="58">
        <v>0</v>
      </c>
      <c r="N118" s="58">
        <v>0</v>
      </c>
      <c r="O118" s="22">
        <v>4000</v>
      </c>
      <c r="P118" s="22">
        <v>0</v>
      </c>
      <c r="Q118" s="22">
        <v>0</v>
      </c>
    </row>
    <row r="119" spans="1:17" s="7" customFormat="1" ht="17.25" customHeight="1">
      <c r="A119" s="108" t="s">
        <v>120</v>
      </c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10"/>
    </row>
    <row r="120" spans="1:17" s="16" customFormat="1" ht="22.15" customHeight="1">
      <c r="A120" s="25">
        <v>38</v>
      </c>
      <c r="B120" s="26" t="s">
        <v>121</v>
      </c>
      <c r="C120" s="27" t="s">
        <v>122</v>
      </c>
      <c r="D120" s="28" t="s">
        <v>123</v>
      </c>
      <c r="E120" s="29">
        <f>F121</f>
        <v>134005.83100000001</v>
      </c>
      <c r="F120" s="30">
        <f t="shared" ref="F120:F150" si="47">G120+I120+J120+Q120</f>
        <v>136039.856</v>
      </c>
      <c r="G120" s="31">
        <f>G121</f>
        <v>69500.98</v>
      </c>
      <c r="H120" s="31">
        <f t="shared" ref="H120:H130" si="48">G120+J120</f>
        <v>76651.98</v>
      </c>
      <c r="I120" s="30">
        <f>SUM(K120:O120)</f>
        <v>59387.876000000004</v>
      </c>
      <c r="J120" s="30">
        <f>SUM(J121:J121)</f>
        <v>7151</v>
      </c>
      <c r="K120" s="30">
        <f>SUM(K121:K122)</f>
        <v>6482.9389999999994</v>
      </c>
      <c r="L120" s="30">
        <f t="shared" ref="L120:Q120" si="49">SUM(L121:L122)</f>
        <v>12904.937</v>
      </c>
      <c r="M120" s="30">
        <f t="shared" si="49"/>
        <v>10000</v>
      </c>
      <c r="N120" s="30">
        <f t="shared" si="49"/>
        <v>15000</v>
      </c>
      <c r="O120" s="30">
        <f t="shared" si="49"/>
        <v>15000</v>
      </c>
      <c r="P120" s="30">
        <f t="shared" si="49"/>
        <v>0</v>
      </c>
      <c r="Q120" s="30">
        <f t="shared" si="49"/>
        <v>0</v>
      </c>
    </row>
    <row r="121" spans="1:17" s="16" customFormat="1" ht="12.6" customHeight="1">
      <c r="A121" s="40"/>
      <c r="B121" s="18" t="s">
        <v>29</v>
      </c>
      <c r="C121" s="19"/>
      <c r="D121" s="20"/>
      <c r="E121" s="21"/>
      <c r="F121" s="22">
        <f t="shared" si="47"/>
        <v>134005.83100000001</v>
      </c>
      <c r="G121" s="23">
        <v>69500.98</v>
      </c>
      <c r="H121" s="22">
        <f t="shared" si="48"/>
        <v>76651.98</v>
      </c>
      <c r="I121" s="22">
        <f>SUM(K121:O121)</f>
        <v>57353.850999999995</v>
      </c>
      <c r="J121" s="22">
        <v>7151</v>
      </c>
      <c r="K121" s="22">
        <f>5000+1500-503.702-191.366</f>
        <v>5804.9319999999998</v>
      </c>
      <c r="L121" s="22">
        <f>9321.993+503.702+191.366+520.858+1011</f>
        <v>11548.919</v>
      </c>
      <c r="M121" s="22">
        <f>10000</f>
        <v>10000</v>
      </c>
      <c r="N121" s="22">
        <f>15000</f>
        <v>15000</v>
      </c>
      <c r="O121" s="22">
        <f>15000</f>
        <v>15000</v>
      </c>
      <c r="P121" s="22">
        <v>0</v>
      </c>
      <c r="Q121" s="22">
        <v>0</v>
      </c>
    </row>
    <row r="122" spans="1:17" s="16" customFormat="1" ht="12.6" customHeight="1">
      <c r="A122" s="40"/>
      <c r="B122" s="18" t="s">
        <v>124</v>
      </c>
      <c r="C122" s="19"/>
      <c r="D122" s="20"/>
      <c r="E122" s="21"/>
      <c r="F122" s="22">
        <f t="shared" si="47"/>
        <v>2034.0250000000001</v>
      </c>
      <c r="G122" s="23">
        <v>0</v>
      </c>
      <c r="H122" s="22">
        <v>0</v>
      </c>
      <c r="I122" s="22">
        <f>SUM(K122:O122)</f>
        <v>2034.0250000000001</v>
      </c>
      <c r="J122" s="22">
        <v>0</v>
      </c>
      <c r="K122" s="22">
        <f>1695.02-1017.013-520.858+520.858</f>
        <v>678.00699999999995</v>
      </c>
      <c r="L122" s="22">
        <f>339.005+1017.013</f>
        <v>1356.018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</row>
    <row r="123" spans="1:17" s="7" customFormat="1" ht="31.9" customHeight="1">
      <c r="A123" s="25">
        <v>39</v>
      </c>
      <c r="B123" s="38" t="s">
        <v>125</v>
      </c>
      <c r="C123" s="27" t="s">
        <v>126</v>
      </c>
      <c r="D123" s="28" t="s">
        <v>127</v>
      </c>
      <c r="E123" s="29">
        <f>F123-F125-F126-F127</f>
        <v>65848.008000000031</v>
      </c>
      <c r="F123" s="30">
        <f t="shared" si="47"/>
        <v>948475.00800000003</v>
      </c>
      <c r="G123" s="31">
        <f>G124+G125+G126+G127</f>
        <v>789229.45699999994</v>
      </c>
      <c r="H123" s="31">
        <f t="shared" si="48"/>
        <v>918730.11699999997</v>
      </c>
      <c r="I123" s="30">
        <f t="shared" ref="I123:I148" si="50">SUM(K123:O123)</f>
        <v>29744.891000000003</v>
      </c>
      <c r="J123" s="30">
        <f t="shared" ref="J123:Q123" si="51">SUM(J124:J127)</f>
        <v>129500.66</v>
      </c>
      <c r="K123" s="30">
        <f>SUM(K124:K127)</f>
        <v>3398.2939999999999</v>
      </c>
      <c r="L123" s="30">
        <f t="shared" si="51"/>
        <v>13346.597000000002</v>
      </c>
      <c r="M123" s="30">
        <f t="shared" si="51"/>
        <v>5000</v>
      </c>
      <c r="N123" s="30">
        <f t="shared" si="51"/>
        <v>5000</v>
      </c>
      <c r="O123" s="30">
        <f t="shared" si="51"/>
        <v>3000</v>
      </c>
      <c r="P123" s="30">
        <f t="shared" si="51"/>
        <v>0</v>
      </c>
      <c r="Q123" s="30">
        <f t="shared" si="51"/>
        <v>0</v>
      </c>
    </row>
    <row r="124" spans="1:17" s="7" customFormat="1" ht="12.6" customHeight="1">
      <c r="A124" s="40"/>
      <c r="B124" s="18" t="s">
        <v>29</v>
      </c>
      <c r="C124" s="19"/>
      <c r="D124" s="20"/>
      <c r="E124" s="21"/>
      <c r="F124" s="22">
        <f t="shared" si="47"/>
        <v>65848.008000000002</v>
      </c>
      <c r="G124" s="23">
        <v>27252.456999999999</v>
      </c>
      <c r="H124" s="22">
        <f t="shared" si="48"/>
        <v>36103.116999999998</v>
      </c>
      <c r="I124" s="22">
        <f t="shared" si="50"/>
        <v>29744.891000000003</v>
      </c>
      <c r="J124" s="22">
        <v>8850.66</v>
      </c>
      <c r="K124" s="22">
        <v>3398.2939999999999</v>
      </c>
      <c r="L124" s="24">
        <f>11025.36+2008.437+245.2+67.6</f>
        <v>13346.597000000002</v>
      </c>
      <c r="M124" s="22">
        <f>12450-7450</f>
        <v>5000</v>
      </c>
      <c r="N124" s="22">
        <f>15675-6175-2500-2000</f>
        <v>5000</v>
      </c>
      <c r="O124" s="22">
        <v>3000</v>
      </c>
      <c r="P124" s="22">
        <v>0</v>
      </c>
      <c r="Q124" s="22">
        <v>0</v>
      </c>
    </row>
    <row r="125" spans="1:17" s="7" customFormat="1" ht="12.6" customHeight="1">
      <c r="A125" s="40"/>
      <c r="B125" s="18" t="s">
        <v>30</v>
      </c>
      <c r="C125" s="19"/>
      <c r="D125" s="20"/>
      <c r="E125" s="21"/>
      <c r="F125" s="22">
        <f t="shared" si="47"/>
        <v>2809</v>
      </c>
      <c r="G125" s="23">
        <v>2809</v>
      </c>
      <c r="H125" s="22">
        <f t="shared" si="48"/>
        <v>2809</v>
      </c>
      <c r="I125" s="22">
        <f t="shared" si="50"/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</row>
    <row r="126" spans="1:17" s="7" customFormat="1" ht="12.6" customHeight="1">
      <c r="A126" s="40"/>
      <c r="B126" s="18" t="s">
        <v>128</v>
      </c>
      <c r="C126" s="19"/>
      <c r="D126" s="20"/>
      <c r="E126" s="21"/>
      <c r="F126" s="22">
        <f t="shared" si="47"/>
        <v>13620</v>
      </c>
      <c r="G126" s="23">
        <v>8620</v>
      </c>
      <c r="H126" s="22">
        <f t="shared" si="48"/>
        <v>13620</v>
      </c>
      <c r="I126" s="22">
        <f t="shared" si="50"/>
        <v>0</v>
      </c>
      <c r="J126" s="22">
        <v>5000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</row>
    <row r="127" spans="1:17" s="7" customFormat="1" ht="12.6" customHeight="1">
      <c r="A127" s="40"/>
      <c r="B127" s="18" t="s">
        <v>129</v>
      </c>
      <c r="C127" s="19"/>
      <c r="D127" s="20"/>
      <c r="E127" s="21"/>
      <c r="F127" s="22">
        <f t="shared" si="47"/>
        <v>866198</v>
      </c>
      <c r="G127" s="23">
        <v>750548</v>
      </c>
      <c r="H127" s="22">
        <f t="shared" si="48"/>
        <v>866198</v>
      </c>
      <c r="I127" s="22">
        <f t="shared" si="50"/>
        <v>0</v>
      </c>
      <c r="J127" s="22">
        <v>115650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</row>
    <row r="128" spans="1:17" s="16" customFormat="1" ht="29.25">
      <c r="A128" s="25">
        <v>40</v>
      </c>
      <c r="B128" s="38" t="s">
        <v>130</v>
      </c>
      <c r="C128" s="27" t="s">
        <v>131</v>
      </c>
      <c r="D128" s="28" t="s">
        <v>132</v>
      </c>
      <c r="E128" s="29">
        <f>F128</f>
        <v>206952.41200000001</v>
      </c>
      <c r="F128" s="30">
        <f t="shared" si="47"/>
        <v>206952.41200000001</v>
      </c>
      <c r="G128" s="31">
        <f>G129+G130</f>
        <v>53438.323000000004</v>
      </c>
      <c r="H128" s="31">
        <f t="shared" si="48"/>
        <v>59884.263000000006</v>
      </c>
      <c r="I128" s="30">
        <f>SUM(K128:O128)</f>
        <v>147068.149</v>
      </c>
      <c r="J128" s="30">
        <f t="shared" ref="J128:P128" si="52">SUM(J129:J131)</f>
        <v>6445.94</v>
      </c>
      <c r="K128" s="31">
        <f t="shared" si="52"/>
        <v>10990.474999999999</v>
      </c>
      <c r="L128" s="30">
        <f t="shared" si="52"/>
        <v>28195.674000000003</v>
      </c>
      <c r="M128" s="30">
        <f t="shared" si="52"/>
        <v>36300</v>
      </c>
      <c r="N128" s="30">
        <f t="shared" si="52"/>
        <v>28582</v>
      </c>
      <c r="O128" s="30">
        <f t="shared" si="52"/>
        <v>43000</v>
      </c>
      <c r="P128" s="30">
        <f t="shared" si="52"/>
        <v>0</v>
      </c>
      <c r="Q128" s="30">
        <f>SUM(Q129:Q131)</f>
        <v>0</v>
      </c>
    </row>
    <row r="129" spans="1:17" s="16" customFormat="1" ht="12.6" customHeight="1">
      <c r="A129" s="40"/>
      <c r="B129" s="18" t="s">
        <v>29</v>
      </c>
      <c r="C129" s="20"/>
      <c r="D129" s="20"/>
      <c r="E129" s="21"/>
      <c r="F129" s="22">
        <f t="shared" si="47"/>
        <v>162243.72500000001</v>
      </c>
      <c r="G129" s="22">
        <v>26285.098000000002</v>
      </c>
      <c r="H129" s="22">
        <f t="shared" si="48"/>
        <v>31939.445</v>
      </c>
      <c r="I129" s="22">
        <f t="shared" si="50"/>
        <v>130304.28</v>
      </c>
      <c r="J129" s="22">
        <v>5654.3469999999998</v>
      </c>
      <c r="K129" s="22">
        <f>14799.911-4500-2000+500-100+130</f>
        <v>8829.9110000000001</v>
      </c>
      <c r="L129" s="24">
        <f>20466.83-1300+122-4000+2000-122+3000+7.539</f>
        <v>20174.369000000002</v>
      </c>
      <c r="M129" s="22">
        <f>29300+2000+5000-3000</f>
        <v>33300</v>
      </c>
      <c r="N129" s="22">
        <v>25000</v>
      </c>
      <c r="O129" s="22">
        <f>28000+15000</f>
        <v>43000</v>
      </c>
      <c r="P129" s="22">
        <v>0</v>
      </c>
      <c r="Q129" s="22">
        <v>0</v>
      </c>
    </row>
    <row r="130" spans="1:17" s="16" customFormat="1" ht="12.6" customHeight="1">
      <c r="A130" s="40"/>
      <c r="B130" s="18" t="s">
        <v>41</v>
      </c>
      <c r="C130" s="20"/>
      <c r="D130" s="20"/>
      <c r="E130" s="21"/>
      <c r="F130" s="22">
        <f t="shared" si="47"/>
        <v>39356.957999999999</v>
      </c>
      <c r="G130" s="22">
        <v>27153.224999999999</v>
      </c>
      <c r="H130" s="22">
        <f t="shared" si="48"/>
        <v>27944.817999999999</v>
      </c>
      <c r="I130" s="22">
        <f t="shared" si="50"/>
        <v>11412.14</v>
      </c>
      <c r="J130" s="22">
        <v>791.59299999999996</v>
      </c>
      <c r="K130" s="22">
        <v>30.14</v>
      </c>
      <c r="L130" s="22">
        <v>4800</v>
      </c>
      <c r="M130" s="22">
        <v>3000</v>
      </c>
      <c r="N130" s="22">
        <v>3582</v>
      </c>
      <c r="O130" s="22">
        <v>0</v>
      </c>
      <c r="P130" s="22">
        <v>0</v>
      </c>
      <c r="Q130" s="22">
        <v>0</v>
      </c>
    </row>
    <row r="131" spans="1:17" s="16" customFormat="1" ht="10.9" customHeight="1">
      <c r="A131" s="40"/>
      <c r="B131" s="18" t="s">
        <v>133</v>
      </c>
      <c r="C131" s="20"/>
      <c r="D131" s="20"/>
      <c r="E131" s="21"/>
      <c r="F131" s="22">
        <f t="shared" si="47"/>
        <v>5351.7289999999994</v>
      </c>
      <c r="G131" s="22">
        <v>0</v>
      </c>
      <c r="H131" s="22">
        <v>0</v>
      </c>
      <c r="I131" s="22">
        <f t="shared" si="50"/>
        <v>5351.7289999999994</v>
      </c>
      <c r="J131" s="22">
        <v>0</v>
      </c>
      <c r="K131" s="22">
        <f>2482.819+206.17-565.065+6.5</f>
        <v>2130.424</v>
      </c>
      <c r="L131" s="22">
        <f>2967.877+240.6+12.828</f>
        <v>3221.3049999999998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</row>
    <row r="132" spans="1:17" s="16" customFormat="1" ht="36.75" customHeight="1">
      <c r="A132" s="25">
        <v>41</v>
      </c>
      <c r="B132" s="38" t="s">
        <v>134</v>
      </c>
      <c r="C132" s="27" t="s">
        <v>135</v>
      </c>
      <c r="D132" s="28" t="s">
        <v>136</v>
      </c>
      <c r="E132" s="29">
        <f>F133</f>
        <v>87523.997000000003</v>
      </c>
      <c r="F132" s="30">
        <f t="shared" si="47"/>
        <v>101445.38</v>
      </c>
      <c r="G132" s="31">
        <f>G133+G134</f>
        <v>167.262</v>
      </c>
      <c r="H132" s="31">
        <f t="shared" ref="H132:H150" si="53">G132+J132</f>
        <v>9220.8790000000008</v>
      </c>
      <c r="I132" s="30">
        <f t="shared" si="50"/>
        <v>59219.177000000003</v>
      </c>
      <c r="J132" s="30">
        <f t="shared" ref="J132:Q132" si="54">SUM(J133:J134)</f>
        <v>9053.6170000000002</v>
      </c>
      <c r="K132" s="30">
        <f t="shared" si="54"/>
        <v>12327.359999999999</v>
      </c>
      <c r="L132" s="30">
        <f t="shared" si="54"/>
        <v>12513.709000000001</v>
      </c>
      <c r="M132" s="30">
        <f t="shared" si="54"/>
        <v>3270</v>
      </c>
      <c r="N132" s="30">
        <f t="shared" si="54"/>
        <v>11773</v>
      </c>
      <c r="O132" s="30">
        <f t="shared" si="54"/>
        <v>19335.108</v>
      </c>
      <c r="P132" s="30">
        <f t="shared" si="54"/>
        <v>9335.1080000000002</v>
      </c>
      <c r="Q132" s="30">
        <f t="shared" si="54"/>
        <v>33005.324000000001</v>
      </c>
    </row>
    <row r="133" spans="1:17" s="16" customFormat="1" ht="12.6" customHeight="1">
      <c r="A133" s="40"/>
      <c r="B133" s="18" t="s">
        <v>29</v>
      </c>
      <c r="C133" s="19"/>
      <c r="D133" s="20"/>
      <c r="E133" s="21"/>
      <c r="F133" s="22">
        <f t="shared" si="47"/>
        <v>87523.997000000003</v>
      </c>
      <c r="G133" s="23">
        <v>167.262</v>
      </c>
      <c r="H133" s="22">
        <f>G133+J133</f>
        <v>7057.1239999999998</v>
      </c>
      <c r="I133" s="22">
        <f t="shared" si="50"/>
        <v>47461.548999999999</v>
      </c>
      <c r="J133" s="22">
        <v>6889.8620000000001</v>
      </c>
      <c r="K133" s="22">
        <f>11299.934-122-38.263</f>
        <v>11139.670999999998</v>
      </c>
      <c r="L133" s="22">
        <f>4813.77</f>
        <v>4813.7700000000004</v>
      </c>
      <c r="M133" s="22">
        <v>2300</v>
      </c>
      <c r="N133" s="22">
        <v>9873</v>
      </c>
      <c r="O133" s="22">
        <v>19335.108</v>
      </c>
      <c r="P133" s="22">
        <v>9335.1080000000002</v>
      </c>
      <c r="Q133" s="22">
        <v>33005.324000000001</v>
      </c>
    </row>
    <row r="134" spans="1:17" s="16" customFormat="1" ht="12.6" customHeight="1">
      <c r="A134" s="40"/>
      <c r="B134" s="18" t="s">
        <v>137</v>
      </c>
      <c r="C134" s="19"/>
      <c r="D134" s="20"/>
      <c r="E134" s="21"/>
      <c r="F134" s="22">
        <f t="shared" si="47"/>
        <v>13921.383000000002</v>
      </c>
      <c r="G134" s="23">
        <v>0</v>
      </c>
      <c r="H134" s="22">
        <f t="shared" si="53"/>
        <v>2163.7550000000001</v>
      </c>
      <c r="I134" s="22">
        <f t="shared" si="50"/>
        <v>11757.628000000001</v>
      </c>
      <c r="J134" s="22">
        <v>2163.7550000000001</v>
      </c>
      <c r="K134" s="22">
        <v>1187.6890000000001</v>
      </c>
      <c r="L134" s="22">
        <v>7699.9390000000003</v>
      </c>
      <c r="M134" s="22">
        <v>970</v>
      </c>
      <c r="N134" s="22">
        <v>1900</v>
      </c>
      <c r="O134" s="22">
        <v>0</v>
      </c>
      <c r="P134" s="22">
        <v>0</v>
      </c>
      <c r="Q134" s="22">
        <v>0</v>
      </c>
    </row>
    <row r="135" spans="1:17" s="16" customFormat="1" ht="33" customHeight="1">
      <c r="A135" s="25">
        <v>42</v>
      </c>
      <c r="B135" s="41" t="s">
        <v>138</v>
      </c>
      <c r="C135" s="27" t="s">
        <v>139</v>
      </c>
      <c r="D135" s="28" t="s">
        <v>140</v>
      </c>
      <c r="E135" s="29">
        <f>F135</f>
        <v>254.22200000000001</v>
      </c>
      <c r="F135" s="30">
        <f t="shared" si="47"/>
        <v>254.22200000000001</v>
      </c>
      <c r="G135" s="31">
        <f>G136+G137</f>
        <v>136.60400000000001</v>
      </c>
      <c r="H135" s="31">
        <f t="shared" si="53"/>
        <v>224.22200000000001</v>
      </c>
      <c r="I135" s="30">
        <f t="shared" ref="I135:I144" si="55">SUM(K135:O135)</f>
        <v>30</v>
      </c>
      <c r="J135" s="30">
        <f t="shared" ref="J135:Q135" si="56">SUM(J136:J137)</f>
        <v>87.617999999999995</v>
      </c>
      <c r="K135" s="30">
        <f t="shared" si="56"/>
        <v>30</v>
      </c>
      <c r="L135" s="30">
        <f t="shared" si="56"/>
        <v>0</v>
      </c>
      <c r="M135" s="30">
        <f t="shared" si="56"/>
        <v>0</v>
      </c>
      <c r="N135" s="30">
        <f t="shared" si="56"/>
        <v>0</v>
      </c>
      <c r="O135" s="30">
        <f t="shared" si="56"/>
        <v>0</v>
      </c>
      <c r="P135" s="30">
        <f t="shared" si="56"/>
        <v>0</v>
      </c>
      <c r="Q135" s="30">
        <f t="shared" si="56"/>
        <v>0</v>
      </c>
    </row>
    <row r="136" spans="1:17" s="16" customFormat="1" ht="11.45" customHeight="1">
      <c r="A136" s="40"/>
      <c r="B136" s="18" t="s">
        <v>29</v>
      </c>
      <c r="C136" s="19"/>
      <c r="D136" s="20"/>
      <c r="E136" s="21"/>
      <c r="F136" s="22">
        <f t="shared" si="47"/>
        <v>124.22199999999999</v>
      </c>
      <c r="G136" s="23">
        <v>6.6040000000000001</v>
      </c>
      <c r="H136" s="22">
        <f t="shared" si="53"/>
        <v>94.221999999999994</v>
      </c>
      <c r="I136" s="22">
        <f t="shared" si="55"/>
        <v>30</v>
      </c>
      <c r="J136" s="22">
        <v>87.617999999999995</v>
      </c>
      <c r="K136" s="22">
        <v>30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</row>
    <row r="137" spans="1:17" s="16" customFormat="1" ht="11.45" customHeight="1">
      <c r="A137" s="40"/>
      <c r="B137" s="18" t="s">
        <v>141</v>
      </c>
      <c r="C137" s="19"/>
      <c r="D137" s="20"/>
      <c r="E137" s="21"/>
      <c r="F137" s="22">
        <f t="shared" si="47"/>
        <v>130</v>
      </c>
      <c r="G137" s="23">
        <v>130</v>
      </c>
      <c r="H137" s="22">
        <f t="shared" si="53"/>
        <v>130</v>
      </c>
      <c r="I137" s="22">
        <f t="shared" si="55"/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</row>
    <row r="138" spans="1:17" s="16" customFormat="1" ht="22.9" customHeight="1">
      <c r="A138" s="59">
        <v>43</v>
      </c>
      <c r="B138" s="38" t="s">
        <v>142</v>
      </c>
      <c r="C138" s="27" t="s">
        <v>143</v>
      </c>
      <c r="D138" s="56" t="s">
        <v>144</v>
      </c>
      <c r="E138" s="29">
        <f>F138</f>
        <v>54999.569000000003</v>
      </c>
      <c r="F138" s="30">
        <f t="shared" si="47"/>
        <v>54999.569000000003</v>
      </c>
      <c r="G138" s="43">
        <f>G139+G140</f>
        <v>0</v>
      </c>
      <c r="H138" s="31">
        <f t="shared" si="53"/>
        <v>0</v>
      </c>
      <c r="I138" s="30">
        <f t="shared" si="55"/>
        <v>54072.569000000003</v>
      </c>
      <c r="J138" s="30">
        <f>SUM(J139:J139)</f>
        <v>0</v>
      </c>
      <c r="K138" s="30">
        <f t="shared" ref="K138:Q138" si="57">SUM(K139:K140)</f>
        <v>920</v>
      </c>
      <c r="L138" s="30">
        <f t="shared" si="57"/>
        <v>9990.5689999999995</v>
      </c>
      <c r="M138" s="30">
        <f t="shared" si="57"/>
        <v>16910</v>
      </c>
      <c r="N138" s="30">
        <f t="shared" si="57"/>
        <v>18000</v>
      </c>
      <c r="O138" s="30">
        <f t="shared" si="57"/>
        <v>8252</v>
      </c>
      <c r="P138" s="30">
        <f>SUM(P139:P140)</f>
        <v>927</v>
      </c>
      <c r="Q138" s="30">
        <f t="shared" si="57"/>
        <v>927</v>
      </c>
    </row>
    <row r="139" spans="1:17" s="16" customFormat="1" ht="11.45" customHeight="1">
      <c r="A139" s="40"/>
      <c r="B139" s="18" t="s">
        <v>29</v>
      </c>
      <c r="C139" s="19"/>
      <c r="D139" s="20"/>
      <c r="E139" s="21"/>
      <c r="F139" s="22">
        <f t="shared" si="47"/>
        <v>18373.553</v>
      </c>
      <c r="G139" s="23">
        <v>0</v>
      </c>
      <c r="H139" s="22">
        <f t="shared" si="53"/>
        <v>0</v>
      </c>
      <c r="I139" s="22">
        <f t="shared" si="55"/>
        <v>17446.553</v>
      </c>
      <c r="J139" s="22">
        <v>0</v>
      </c>
      <c r="K139" s="22">
        <f>2000-1080</f>
        <v>920</v>
      </c>
      <c r="L139" s="22">
        <f>3089.431-1089.431+1080</f>
        <v>3080</v>
      </c>
      <c r="M139" s="22">
        <f>6178.862-3090</f>
        <v>3088.8620000000001</v>
      </c>
      <c r="N139" s="22">
        <f>6178.862-2000</f>
        <v>4178.8620000000001</v>
      </c>
      <c r="O139" s="22">
        <f>926.829+5252</f>
        <v>6178.8289999999997</v>
      </c>
      <c r="P139" s="22">
        <v>927</v>
      </c>
      <c r="Q139" s="22">
        <v>927</v>
      </c>
    </row>
    <row r="140" spans="1:17" s="16" customFormat="1" ht="11.45" customHeight="1">
      <c r="A140" s="40"/>
      <c r="B140" s="18" t="s">
        <v>41</v>
      </c>
      <c r="C140" s="19"/>
      <c r="D140" s="20"/>
      <c r="E140" s="21"/>
      <c r="F140" s="22">
        <f t="shared" si="47"/>
        <v>36626.016000000003</v>
      </c>
      <c r="G140" s="23">
        <v>0</v>
      </c>
      <c r="H140" s="22">
        <f t="shared" si="53"/>
        <v>0</v>
      </c>
      <c r="I140" s="22">
        <f t="shared" si="55"/>
        <v>36626.016000000003</v>
      </c>
      <c r="J140" s="22">
        <v>0</v>
      </c>
      <c r="K140" s="22">
        <v>0</v>
      </c>
      <c r="L140" s="22">
        <v>6910.5690000000004</v>
      </c>
      <c r="M140" s="22">
        <v>13821.138000000001</v>
      </c>
      <c r="N140" s="22">
        <v>13821.138000000001</v>
      </c>
      <c r="O140" s="22">
        <v>2073.1709999999998</v>
      </c>
      <c r="P140" s="22">
        <v>0</v>
      </c>
      <c r="Q140" s="22">
        <v>0</v>
      </c>
    </row>
    <row r="141" spans="1:17" s="16" customFormat="1" ht="39" customHeight="1">
      <c r="A141" s="59">
        <v>44</v>
      </c>
      <c r="B141" s="38" t="s">
        <v>145</v>
      </c>
      <c r="C141" s="27" t="s">
        <v>131</v>
      </c>
      <c r="D141" s="56" t="s">
        <v>146</v>
      </c>
      <c r="E141" s="29">
        <f>F142+F143</f>
        <v>3800</v>
      </c>
      <c r="F141" s="30">
        <f t="shared" si="47"/>
        <v>12400</v>
      </c>
      <c r="G141" s="43">
        <f>G142+G143+G144</f>
        <v>0</v>
      </c>
      <c r="H141" s="31">
        <f t="shared" si="53"/>
        <v>0</v>
      </c>
      <c r="I141" s="30">
        <f t="shared" si="55"/>
        <v>12400</v>
      </c>
      <c r="J141" s="30">
        <f>SUM(J142:J142)</f>
        <v>0</v>
      </c>
      <c r="K141" s="30">
        <f>SUM(K142:K144)</f>
        <v>0</v>
      </c>
      <c r="L141" s="30">
        <f>SUM(L142:L144)</f>
        <v>400</v>
      </c>
      <c r="M141" s="30">
        <f>SUM(M142:M144)</f>
        <v>0</v>
      </c>
      <c r="N141" s="30">
        <f>SUM(N142:N144)</f>
        <v>12000</v>
      </c>
      <c r="O141" s="30">
        <f>SUM(O142:O143)</f>
        <v>0</v>
      </c>
      <c r="P141" s="30">
        <f>SUM(P142:P143)</f>
        <v>0</v>
      </c>
      <c r="Q141" s="30">
        <f>SUM(Q142:Q143)</f>
        <v>0</v>
      </c>
    </row>
    <row r="142" spans="1:17" s="16" customFormat="1" ht="11.45" customHeight="1">
      <c r="A142" s="40"/>
      <c r="B142" s="18" t="s">
        <v>29</v>
      </c>
      <c r="C142" s="19"/>
      <c r="D142" s="20"/>
      <c r="E142" s="21"/>
      <c r="F142" s="22">
        <f t="shared" si="47"/>
        <v>1312.1949999999999</v>
      </c>
      <c r="G142" s="23">
        <v>0</v>
      </c>
      <c r="H142" s="22">
        <f t="shared" si="53"/>
        <v>0</v>
      </c>
      <c r="I142" s="22">
        <f t="shared" si="55"/>
        <v>1312.1949999999999</v>
      </c>
      <c r="J142" s="22">
        <v>0</v>
      </c>
      <c r="K142" s="22">
        <f>200-200</f>
        <v>0</v>
      </c>
      <c r="L142" s="22">
        <v>200</v>
      </c>
      <c r="M142" s="22">
        <v>0</v>
      </c>
      <c r="N142" s="22">
        <v>1112.1949999999999</v>
      </c>
      <c r="O142" s="22">
        <v>0</v>
      </c>
      <c r="P142" s="22">
        <v>0</v>
      </c>
      <c r="Q142" s="22">
        <v>0</v>
      </c>
    </row>
    <row r="143" spans="1:17" s="16" customFormat="1" ht="11.45" customHeight="1">
      <c r="A143" s="40"/>
      <c r="B143" s="18" t="s">
        <v>41</v>
      </c>
      <c r="C143" s="19"/>
      <c r="D143" s="20"/>
      <c r="E143" s="21"/>
      <c r="F143" s="22">
        <f t="shared" si="47"/>
        <v>2487.8049999999998</v>
      </c>
      <c r="G143" s="23">
        <v>0</v>
      </c>
      <c r="H143" s="22">
        <f t="shared" si="53"/>
        <v>0</v>
      </c>
      <c r="I143" s="22">
        <f t="shared" si="55"/>
        <v>2487.8049999999998</v>
      </c>
      <c r="J143" s="22">
        <v>0</v>
      </c>
      <c r="K143" s="22">
        <v>0</v>
      </c>
      <c r="L143" s="22">
        <v>0</v>
      </c>
      <c r="M143" s="22">
        <v>0</v>
      </c>
      <c r="N143" s="22">
        <v>2487.8049999999998</v>
      </c>
      <c r="O143" s="22">
        <v>0</v>
      </c>
      <c r="P143" s="22">
        <v>0</v>
      </c>
      <c r="Q143" s="22">
        <v>0</v>
      </c>
    </row>
    <row r="144" spans="1:17" s="16" customFormat="1" ht="11.45" customHeight="1">
      <c r="A144" s="40"/>
      <c r="B144" s="18" t="s">
        <v>147</v>
      </c>
      <c r="C144" s="19"/>
      <c r="D144" s="20"/>
      <c r="E144" s="21"/>
      <c r="F144" s="22">
        <f t="shared" si="47"/>
        <v>8600</v>
      </c>
      <c r="G144" s="23">
        <v>0</v>
      </c>
      <c r="H144" s="22">
        <f t="shared" si="53"/>
        <v>0</v>
      </c>
      <c r="I144" s="22">
        <f t="shared" si="55"/>
        <v>8600</v>
      </c>
      <c r="J144" s="22">
        <v>0</v>
      </c>
      <c r="K144" s="22">
        <v>0</v>
      </c>
      <c r="L144" s="22">
        <v>200</v>
      </c>
      <c r="M144" s="22">
        <v>0</v>
      </c>
      <c r="N144" s="22">
        <v>8400</v>
      </c>
      <c r="O144" s="22">
        <v>0</v>
      </c>
      <c r="P144" s="22">
        <v>0</v>
      </c>
      <c r="Q144" s="22">
        <v>0</v>
      </c>
    </row>
    <row r="145" spans="1:17" s="16" customFormat="1" ht="23.45" customHeight="1">
      <c r="A145" s="25">
        <v>45</v>
      </c>
      <c r="B145" s="44" t="s">
        <v>148</v>
      </c>
      <c r="C145" s="27" t="s">
        <v>122</v>
      </c>
      <c r="D145" s="28" t="s">
        <v>149</v>
      </c>
      <c r="E145" s="29">
        <f>F145</f>
        <v>52305.25</v>
      </c>
      <c r="F145" s="30">
        <f t="shared" si="47"/>
        <v>52305.25</v>
      </c>
      <c r="G145" s="31">
        <f>G146</f>
        <v>27734.113000000001</v>
      </c>
      <c r="H145" s="31">
        <f t="shared" si="53"/>
        <v>30055.238000000001</v>
      </c>
      <c r="I145" s="30">
        <f t="shared" si="50"/>
        <v>20250.011999999999</v>
      </c>
      <c r="J145" s="30">
        <f t="shared" ref="J145:Q145" si="58">SUM(J146:J146)</f>
        <v>2321.125</v>
      </c>
      <c r="K145" s="30">
        <f t="shared" si="58"/>
        <v>5585.5339999999997</v>
      </c>
      <c r="L145" s="30">
        <f t="shared" si="58"/>
        <v>5964.4780000000001</v>
      </c>
      <c r="M145" s="30">
        <f t="shared" si="58"/>
        <v>4700</v>
      </c>
      <c r="N145" s="30">
        <f t="shared" si="58"/>
        <v>2000</v>
      </c>
      <c r="O145" s="30">
        <f t="shared" si="58"/>
        <v>2000</v>
      </c>
      <c r="P145" s="30">
        <f t="shared" si="58"/>
        <v>2000</v>
      </c>
      <c r="Q145" s="30">
        <f t="shared" si="58"/>
        <v>2000</v>
      </c>
    </row>
    <row r="146" spans="1:17" s="16" customFormat="1" ht="11.45" customHeight="1">
      <c r="A146" s="40"/>
      <c r="B146" s="18" t="s">
        <v>29</v>
      </c>
      <c r="C146" s="19"/>
      <c r="D146" s="20"/>
      <c r="E146" s="21"/>
      <c r="F146" s="22">
        <f t="shared" si="47"/>
        <v>52305.25</v>
      </c>
      <c r="G146" s="23">
        <v>27734.113000000001</v>
      </c>
      <c r="H146" s="22">
        <f t="shared" si="53"/>
        <v>30055.238000000001</v>
      </c>
      <c r="I146" s="22">
        <f t="shared" si="50"/>
        <v>20250.011999999999</v>
      </c>
      <c r="J146" s="22">
        <f>1871.125+450</f>
        <v>2321.125</v>
      </c>
      <c r="K146" s="22">
        <f>3974+2500+306.012-105.93-781-307.548</f>
        <v>5585.5339999999997</v>
      </c>
      <c r="L146" s="22">
        <f>4200+105.93+781+307.548+570</f>
        <v>5964.4780000000001</v>
      </c>
      <c r="M146" s="22">
        <f>4700</f>
        <v>4700</v>
      </c>
      <c r="N146" s="22">
        <f>2000</f>
        <v>2000</v>
      </c>
      <c r="O146" s="22">
        <f>2000</f>
        <v>2000</v>
      </c>
      <c r="P146" s="22">
        <v>2000</v>
      </c>
      <c r="Q146" s="22">
        <v>2000</v>
      </c>
    </row>
    <row r="147" spans="1:17" s="16" customFormat="1" ht="21.6" customHeight="1">
      <c r="A147" s="25">
        <v>46</v>
      </c>
      <c r="B147" s="41" t="s">
        <v>150</v>
      </c>
      <c r="C147" s="27" t="s">
        <v>151</v>
      </c>
      <c r="D147" s="28" t="s">
        <v>69</v>
      </c>
      <c r="E147" s="29">
        <f>F147</f>
        <v>33737.599999999999</v>
      </c>
      <c r="F147" s="30">
        <f t="shared" si="47"/>
        <v>33737.599999999999</v>
      </c>
      <c r="G147" s="31">
        <f>G148</f>
        <v>21737.599999999999</v>
      </c>
      <c r="H147" s="31">
        <f t="shared" si="53"/>
        <v>21737.599999999999</v>
      </c>
      <c r="I147" s="30">
        <f t="shared" si="50"/>
        <v>0</v>
      </c>
      <c r="J147" s="30">
        <f t="shared" ref="J147:Q149" si="59">SUM(J148)</f>
        <v>0</v>
      </c>
      <c r="K147" s="30">
        <f t="shared" si="59"/>
        <v>0</v>
      </c>
      <c r="L147" s="30">
        <f t="shared" si="59"/>
        <v>0</v>
      </c>
      <c r="M147" s="30">
        <f t="shared" si="59"/>
        <v>0</v>
      </c>
      <c r="N147" s="30">
        <f t="shared" si="59"/>
        <v>0</v>
      </c>
      <c r="O147" s="30">
        <f t="shared" si="59"/>
        <v>0</v>
      </c>
      <c r="P147" s="30">
        <f t="shared" si="59"/>
        <v>12000</v>
      </c>
      <c r="Q147" s="30">
        <f t="shared" si="59"/>
        <v>12000</v>
      </c>
    </row>
    <row r="148" spans="1:17" s="16" customFormat="1" ht="11.45" customHeight="1">
      <c r="A148" s="40"/>
      <c r="B148" s="18" t="s">
        <v>29</v>
      </c>
      <c r="C148" s="19"/>
      <c r="D148" s="20"/>
      <c r="E148" s="21"/>
      <c r="F148" s="22">
        <f t="shared" si="47"/>
        <v>33737.599999999999</v>
      </c>
      <c r="G148" s="23">
        <v>21737.599999999999</v>
      </c>
      <c r="H148" s="22">
        <f t="shared" si="53"/>
        <v>21737.599999999999</v>
      </c>
      <c r="I148" s="22">
        <f t="shared" si="50"/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12000</v>
      </c>
      <c r="Q148" s="22">
        <v>12000</v>
      </c>
    </row>
    <row r="149" spans="1:17" s="16" customFormat="1" ht="24" customHeight="1">
      <c r="A149" s="25">
        <v>47</v>
      </c>
      <c r="B149" s="38" t="s">
        <v>152</v>
      </c>
      <c r="C149" s="27" t="s">
        <v>153</v>
      </c>
      <c r="D149" s="28" t="s">
        <v>71</v>
      </c>
      <c r="E149" s="29">
        <f>F149</f>
        <v>4393.3999999999996</v>
      </c>
      <c r="F149" s="30">
        <f t="shared" si="47"/>
        <v>4393.3999999999996</v>
      </c>
      <c r="G149" s="31">
        <f>G150</f>
        <v>0</v>
      </c>
      <c r="H149" s="31">
        <f t="shared" si="53"/>
        <v>714.9</v>
      </c>
      <c r="I149" s="30">
        <f>SUM(K149:O149)</f>
        <v>3678.5</v>
      </c>
      <c r="J149" s="30">
        <f t="shared" si="59"/>
        <v>714.9</v>
      </c>
      <c r="K149" s="31">
        <f t="shared" si="59"/>
        <v>934.5</v>
      </c>
      <c r="L149" s="31">
        <f t="shared" si="59"/>
        <v>2744</v>
      </c>
      <c r="M149" s="30">
        <f t="shared" si="59"/>
        <v>0</v>
      </c>
      <c r="N149" s="30">
        <f t="shared" si="59"/>
        <v>0</v>
      </c>
      <c r="O149" s="30">
        <f t="shared" si="59"/>
        <v>0</v>
      </c>
      <c r="P149" s="30"/>
      <c r="Q149" s="30">
        <f>SUM(N149:N149)</f>
        <v>0</v>
      </c>
    </row>
    <row r="150" spans="1:17" s="16" customFormat="1" ht="11.45" customHeight="1">
      <c r="A150" s="40"/>
      <c r="B150" s="18" t="s">
        <v>29</v>
      </c>
      <c r="C150" s="19"/>
      <c r="D150" s="20"/>
      <c r="E150" s="21"/>
      <c r="F150" s="22">
        <f t="shared" si="47"/>
        <v>4393.3999999999996</v>
      </c>
      <c r="G150" s="23">
        <v>0</v>
      </c>
      <c r="H150" s="22">
        <f t="shared" si="53"/>
        <v>714.9</v>
      </c>
      <c r="I150" s="22">
        <f>SUM(K150:O150)</f>
        <v>3678.5</v>
      </c>
      <c r="J150" s="22">
        <v>714.9</v>
      </c>
      <c r="K150" s="22">
        <f>1842-891-16.5</f>
        <v>934.5</v>
      </c>
      <c r="L150" s="22">
        <v>2744</v>
      </c>
      <c r="M150" s="22">
        <v>0</v>
      </c>
      <c r="N150" s="22">
        <v>0</v>
      </c>
      <c r="O150" s="22">
        <v>0</v>
      </c>
      <c r="P150" s="22"/>
      <c r="Q150" s="22">
        <f>SUM(N150:N150)</f>
        <v>0</v>
      </c>
    </row>
    <row r="151" spans="1:17" s="7" customFormat="1" ht="18" customHeight="1">
      <c r="A151" s="108" t="s">
        <v>154</v>
      </c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10"/>
    </row>
    <row r="152" spans="1:17" s="16" customFormat="1" ht="21.6" customHeight="1">
      <c r="A152" s="25">
        <v>48</v>
      </c>
      <c r="B152" s="41" t="s">
        <v>155</v>
      </c>
      <c r="C152" s="27" t="s">
        <v>156</v>
      </c>
      <c r="D152" s="28" t="s">
        <v>157</v>
      </c>
      <c r="E152" s="29">
        <f>F152</f>
        <v>19382.847999999998</v>
      </c>
      <c r="F152" s="30">
        <f t="shared" ref="F152:F164" si="60">G152+I152+J152+Q152</f>
        <v>19382.847999999998</v>
      </c>
      <c r="G152" s="31">
        <f>G153</f>
        <v>15502.018</v>
      </c>
      <c r="H152" s="31">
        <f t="shared" ref="H152:H164" si="61">G152+J152</f>
        <v>16502.018</v>
      </c>
      <c r="I152" s="30">
        <f t="shared" ref="I152:I164" si="62">SUM(K152:O152)</f>
        <v>2880.83</v>
      </c>
      <c r="J152" s="30">
        <f t="shared" ref="J152:Q152" si="63">SUM(J153)</f>
        <v>1000</v>
      </c>
      <c r="K152" s="30">
        <f t="shared" si="63"/>
        <v>749.83</v>
      </c>
      <c r="L152" s="30">
        <f t="shared" si="63"/>
        <v>1731</v>
      </c>
      <c r="M152" s="30">
        <f t="shared" si="63"/>
        <v>300</v>
      </c>
      <c r="N152" s="30">
        <f t="shared" si="63"/>
        <v>50</v>
      </c>
      <c r="O152" s="30">
        <f t="shared" si="63"/>
        <v>50</v>
      </c>
      <c r="P152" s="30">
        <f t="shared" si="63"/>
        <v>0</v>
      </c>
      <c r="Q152" s="30">
        <f t="shared" si="63"/>
        <v>0</v>
      </c>
    </row>
    <row r="153" spans="1:17" s="16" customFormat="1" ht="11.45" customHeight="1">
      <c r="A153" s="40"/>
      <c r="B153" s="18" t="s">
        <v>29</v>
      </c>
      <c r="C153" s="19"/>
      <c r="D153" s="20"/>
      <c r="E153" s="21"/>
      <c r="F153" s="22">
        <f t="shared" si="60"/>
        <v>19382.847999999998</v>
      </c>
      <c r="G153" s="23">
        <v>15502.018</v>
      </c>
      <c r="H153" s="22">
        <f t="shared" si="61"/>
        <v>16502.018</v>
      </c>
      <c r="I153" s="22">
        <f t="shared" si="62"/>
        <v>2880.83</v>
      </c>
      <c r="J153" s="22">
        <v>1000</v>
      </c>
      <c r="K153" s="22">
        <v>749.83</v>
      </c>
      <c r="L153" s="22">
        <f>1631+100</f>
        <v>1731</v>
      </c>
      <c r="M153" s="22">
        <v>300</v>
      </c>
      <c r="N153" s="22">
        <v>50</v>
      </c>
      <c r="O153" s="22">
        <v>50</v>
      </c>
      <c r="P153" s="22">
        <v>0</v>
      </c>
      <c r="Q153" s="22">
        <v>0</v>
      </c>
    </row>
    <row r="154" spans="1:17" s="7" customFormat="1" ht="30" customHeight="1">
      <c r="A154" s="25">
        <v>49</v>
      </c>
      <c r="B154" s="41" t="s">
        <v>158</v>
      </c>
      <c r="C154" s="27" t="s">
        <v>159</v>
      </c>
      <c r="D154" s="28" t="s">
        <v>157</v>
      </c>
      <c r="E154" s="29">
        <f>F154</f>
        <v>29359.374000000003</v>
      </c>
      <c r="F154" s="30">
        <f t="shared" si="60"/>
        <v>29359.374000000003</v>
      </c>
      <c r="G154" s="31">
        <f>G155</f>
        <v>15329.906000000001</v>
      </c>
      <c r="H154" s="31">
        <f t="shared" si="61"/>
        <v>18697.406000000003</v>
      </c>
      <c r="I154" s="30">
        <f>SUM(K154:O154)</f>
        <v>10661.968000000001</v>
      </c>
      <c r="J154" s="30">
        <f t="shared" ref="J154:Q154" si="64">SUM(J155)</f>
        <v>3367.5</v>
      </c>
      <c r="K154" s="31">
        <f t="shared" si="64"/>
        <v>3919.9679999999998</v>
      </c>
      <c r="L154" s="30">
        <f t="shared" si="64"/>
        <v>4642</v>
      </c>
      <c r="M154" s="30">
        <f t="shared" si="64"/>
        <v>700</v>
      </c>
      <c r="N154" s="30">
        <f t="shared" si="64"/>
        <v>700</v>
      </c>
      <c r="O154" s="30">
        <f t="shared" si="64"/>
        <v>700</v>
      </c>
      <c r="P154" s="30">
        <f t="shared" si="64"/>
        <v>0</v>
      </c>
      <c r="Q154" s="30">
        <f t="shared" si="64"/>
        <v>0</v>
      </c>
    </row>
    <row r="155" spans="1:17" s="7" customFormat="1" ht="11.45" customHeight="1">
      <c r="A155" s="40"/>
      <c r="B155" s="18" t="s">
        <v>29</v>
      </c>
      <c r="C155" s="19"/>
      <c r="D155" s="20"/>
      <c r="E155" s="21"/>
      <c r="F155" s="22">
        <f t="shared" si="60"/>
        <v>29359.374000000003</v>
      </c>
      <c r="G155" s="23">
        <v>15329.906000000001</v>
      </c>
      <c r="H155" s="22">
        <f t="shared" si="61"/>
        <v>18697.406000000003</v>
      </c>
      <c r="I155" s="22">
        <f>SUM(K155:O155)</f>
        <v>10661.968000000001</v>
      </c>
      <c r="J155" s="22">
        <v>3367.5</v>
      </c>
      <c r="K155" s="22">
        <v>3919.9679999999998</v>
      </c>
      <c r="L155" s="24">
        <f>4142+500</f>
        <v>4642</v>
      </c>
      <c r="M155" s="22">
        <v>700</v>
      </c>
      <c r="N155" s="22">
        <v>700</v>
      </c>
      <c r="O155" s="22">
        <v>700</v>
      </c>
      <c r="P155" s="22">
        <v>0</v>
      </c>
      <c r="Q155" s="22"/>
    </row>
    <row r="156" spans="1:17" s="16" customFormat="1" ht="21.6" customHeight="1">
      <c r="A156" s="25">
        <v>50</v>
      </c>
      <c r="B156" s="38" t="s">
        <v>160</v>
      </c>
      <c r="C156" s="27" t="s">
        <v>161</v>
      </c>
      <c r="D156" s="28" t="s">
        <v>312</v>
      </c>
      <c r="E156" s="29">
        <f>F156-F158</f>
        <v>34583.133999999998</v>
      </c>
      <c r="F156" s="30">
        <f t="shared" si="60"/>
        <v>41346.133999999998</v>
      </c>
      <c r="G156" s="31">
        <f>G157+G158</f>
        <v>12669.475</v>
      </c>
      <c r="H156" s="31">
        <f t="shared" si="61"/>
        <v>12887.134</v>
      </c>
      <c r="I156" s="30">
        <f t="shared" si="62"/>
        <v>28459</v>
      </c>
      <c r="J156" s="30">
        <f t="shared" ref="J156:Q156" si="65">SUM(J157:J158)</f>
        <v>217.65899999999999</v>
      </c>
      <c r="K156" s="30">
        <f t="shared" si="65"/>
        <v>2172</v>
      </c>
      <c r="L156" s="30">
        <f t="shared" si="65"/>
        <v>1219</v>
      </c>
      <c r="M156" s="30">
        <f t="shared" si="65"/>
        <v>11856</v>
      </c>
      <c r="N156" s="30">
        <f t="shared" si="65"/>
        <v>13212</v>
      </c>
      <c r="O156" s="30">
        <f t="shared" si="65"/>
        <v>0</v>
      </c>
      <c r="P156" s="30">
        <f t="shared" si="65"/>
        <v>0</v>
      </c>
      <c r="Q156" s="30">
        <f t="shared" si="65"/>
        <v>0</v>
      </c>
    </row>
    <row r="157" spans="1:17" s="16" customFormat="1" ht="11.45" customHeight="1">
      <c r="A157" s="40"/>
      <c r="B157" s="18" t="s">
        <v>29</v>
      </c>
      <c r="C157" s="19"/>
      <c r="D157" s="20"/>
      <c r="E157" s="21"/>
      <c r="F157" s="22">
        <f t="shared" si="60"/>
        <v>34583.133999999998</v>
      </c>
      <c r="G157" s="23">
        <v>12168.475</v>
      </c>
      <c r="H157" s="22">
        <f t="shared" si="61"/>
        <v>12386.134</v>
      </c>
      <c r="I157" s="22">
        <f t="shared" si="62"/>
        <v>22197</v>
      </c>
      <c r="J157" s="22">
        <v>217.65899999999999</v>
      </c>
      <c r="K157" s="22">
        <v>722</v>
      </c>
      <c r="L157" s="22">
        <f>1269-200-500+650</f>
        <v>1219</v>
      </c>
      <c r="M157" s="22">
        <f>7856-2000-3000+500+6200</f>
        <v>9556</v>
      </c>
      <c r="N157" s="22">
        <f>3000+2000-3000+2500+6200</f>
        <v>10700</v>
      </c>
      <c r="O157" s="22">
        <v>0</v>
      </c>
      <c r="P157" s="22">
        <v>0</v>
      </c>
      <c r="Q157" s="22">
        <v>0</v>
      </c>
    </row>
    <row r="158" spans="1:17" s="7" customFormat="1" ht="11.45" customHeight="1">
      <c r="A158" s="40"/>
      <c r="B158" s="18" t="s">
        <v>162</v>
      </c>
      <c r="C158" s="19"/>
      <c r="D158" s="20"/>
      <c r="E158" s="21"/>
      <c r="F158" s="22">
        <f t="shared" si="60"/>
        <v>6763</v>
      </c>
      <c r="G158" s="23">
        <v>501</v>
      </c>
      <c r="H158" s="22">
        <f t="shared" si="61"/>
        <v>501</v>
      </c>
      <c r="I158" s="22">
        <f t="shared" si="62"/>
        <v>6262</v>
      </c>
      <c r="J158" s="23">
        <v>0</v>
      </c>
      <c r="K158" s="23">
        <v>1450</v>
      </c>
      <c r="L158" s="23">
        <v>0</v>
      </c>
      <c r="M158" s="23">
        <v>2300</v>
      </c>
      <c r="N158" s="23">
        <v>2512</v>
      </c>
      <c r="O158" s="23">
        <v>0</v>
      </c>
      <c r="P158" s="23">
        <v>0</v>
      </c>
      <c r="Q158" s="22">
        <v>0</v>
      </c>
    </row>
    <row r="159" spans="1:17" s="16" customFormat="1" ht="37.5" customHeight="1">
      <c r="A159" s="25">
        <v>51</v>
      </c>
      <c r="B159" s="41" t="s">
        <v>163</v>
      </c>
      <c r="C159" s="27" t="s">
        <v>164</v>
      </c>
      <c r="D159" s="56" t="s">
        <v>165</v>
      </c>
      <c r="E159" s="29">
        <f>F159</f>
        <v>3400</v>
      </c>
      <c r="F159" s="60">
        <f t="shared" si="60"/>
        <v>3400</v>
      </c>
      <c r="G159" s="31">
        <f>G160</f>
        <v>0</v>
      </c>
      <c r="H159" s="31">
        <f t="shared" si="61"/>
        <v>0</v>
      </c>
      <c r="I159" s="30">
        <f t="shared" si="62"/>
        <v>0</v>
      </c>
      <c r="J159" s="30">
        <f t="shared" ref="J159:P159" si="66">SUM(J160)</f>
        <v>0</v>
      </c>
      <c r="K159" s="30">
        <f t="shared" si="66"/>
        <v>0</v>
      </c>
      <c r="L159" s="30">
        <f t="shared" si="66"/>
        <v>0</v>
      </c>
      <c r="M159" s="30">
        <f t="shared" si="66"/>
        <v>0</v>
      </c>
      <c r="N159" s="30">
        <f t="shared" si="66"/>
        <v>0</v>
      </c>
      <c r="O159" s="30">
        <f t="shared" si="66"/>
        <v>0</v>
      </c>
      <c r="P159" s="30">
        <f t="shared" si="66"/>
        <v>0</v>
      </c>
      <c r="Q159" s="30">
        <f>Q160</f>
        <v>3400</v>
      </c>
    </row>
    <row r="160" spans="1:17" s="16" customFormat="1" ht="11.45" customHeight="1">
      <c r="A160" s="40"/>
      <c r="B160" s="18" t="s">
        <v>29</v>
      </c>
      <c r="C160" s="19"/>
      <c r="D160" s="20"/>
      <c r="E160" s="21"/>
      <c r="F160" s="22">
        <f t="shared" si="60"/>
        <v>3400</v>
      </c>
      <c r="G160" s="23">
        <v>0</v>
      </c>
      <c r="H160" s="22">
        <f t="shared" si="61"/>
        <v>0</v>
      </c>
      <c r="I160" s="22">
        <f t="shared" si="62"/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3400</v>
      </c>
    </row>
    <row r="161" spans="1:17" s="16" customFormat="1" ht="27" customHeight="1">
      <c r="A161" s="25">
        <v>52</v>
      </c>
      <c r="B161" s="41" t="s">
        <v>166</v>
      </c>
      <c r="C161" s="27" t="s">
        <v>167</v>
      </c>
      <c r="D161" s="56" t="s">
        <v>168</v>
      </c>
      <c r="E161" s="29">
        <f>F161</f>
        <v>76702.679999999993</v>
      </c>
      <c r="F161" s="30">
        <f t="shared" si="60"/>
        <v>76702.679999999993</v>
      </c>
      <c r="G161" s="31">
        <f>G162</f>
        <v>0</v>
      </c>
      <c r="H161" s="31">
        <f t="shared" si="61"/>
        <v>2.68</v>
      </c>
      <c r="I161" s="30">
        <f t="shared" si="62"/>
        <v>0</v>
      </c>
      <c r="J161" s="30">
        <f t="shared" ref="J161:Q161" si="67">SUM(J162)</f>
        <v>2.68</v>
      </c>
      <c r="K161" s="30">
        <f t="shared" si="67"/>
        <v>0</v>
      </c>
      <c r="L161" s="30">
        <f t="shared" si="67"/>
        <v>0</v>
      </c>
      <c r="M161" s="30">
        <f t="shared" si="67"/>
        <v>0</v>
      </c>
      <c r="N161" s="30">
        <f t="shared" si="67"/>
        <v>0</v>
      </c>
      <c r="O161" s="30">
        <f t="shared" si="67"/>
        <v>0</v>
      </c>
      <c r="P161" s="30">
        <f t="shared" si="67"/>
        <v>10000</v>
      </c>
      <c r="Q161" s="30">
        <f t="shared" si="67"/>
        <v>76700</v>
      </c>
    </row>
    <row r="162" spans="1:17" s="16" customFormat="1" ht="11.45" customHeight="1">
      <c r="A162" s="40"/>
      <c r="B162" s="18" t="s">
        <v>29</v>
      </c>
      <c r="C162" s="19"/>
      <c r="D162" s="20"/>
      <c r="E162" s="21"/>
      <c r="F162" s="22">
        <f t="shared" si="60"/>
        <v>76702.679999999993</v>
      </c>
      <c r="G162" s="23">
        <v>0</v>
      </c>
      <c r="H162" s="22">
        <f t="shared" si="61"/>
        <v>2.68</v>
      </c>
      <c r="I162" s="22">
        <f t="shared" si="62"/>
        <v>0</v>
      </c>
      <c r="J162" s="22">
        <v>2.68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10000</v>
      </c>
      <c r="Q162" s="22">
        <v>76700</v>
      </c>
    </row>
    <row r="163" spans="1:17" s="16" customFormat="1" ht="21.6" customHeight="1">
      <c r="A163" s="25">
        <v>53</v>
      </c>
      <c r="B163" s="38" t="s">
        <v>152</v>
      </c>
      <c r="C163" s="27" t="s">
        <v>156</v>
      </c>
      <c r="D163" s="46">
        <v>2015</v>
      </c>
      <c r="E163" s="29">
        <f>F163</f>
        <v>100</v>
      </c>
      <c r="F163" s="30">
        <f t="shared" si="60"/>
        <v>100</v>
      </c>
      <c r="G163" s="31">
        <f>G164</f>
        <v>0</v>
      </c>
      <c r="H163" s="31">
        <f t="shared" si="61"/>
        <v>0</v>
      </c>
      <c r="I163" s="31">
        <f t="shared" si="62"/>
        <v>100</v>
      </c>
      <c r="J163" s="61">
        <f t="shared" ref="J163:P163" si="68">SUM(J164)</f>
        <v>0</v>
      </c>
      <c r="K163" s="31">
        <f t="shared" si="68"/>
        <v>100</v>
      </c>
      <c r="L163" s="30">
        <f t="shared" si="68"/>
        <v>0</v>
      </c>
      <c r="M163" s="30">
        <f t="shared" si="68"/>
        <v>0</v>
      </c>
      <c r="N163" s="30">
        <f t="shared" si="68"/>
        <v>0</v>
      </c>
      <c r="O163" s="30">
        <f t="shared" si="68"/>
        <v>0</v>
      </c>
      <c r="P163" s="30">
        <f t="shared" si="68"/>
        <v>0</v>
      </c>
      <c r="Q163" s="30">
        <f>SUM(N163:N163)</f>
        <v>0</v>
      </c>
    </row>
    <row r="164" spans="1:17" s="16" customFormat="1" ht="10.9" customHeight="1">
      <c r="A164" s="40"/>
      <c r="B164" s="18" t="s">
        <v>29</v>
      </c>
      <c r="C164" s="19"/>
      <c r="D164" s="20"/>
      <c r="E164" s="21"/>
      <c r="F164" s="22">
        <f t="shared" si="60"/>
        <v>100</v>
      </c>
      <c r="G164" s="23">
        <v>0</v>
      </c>
      <c r="H164" s="22">
        <f t="shared" si="61"/>
        <v>0</v>
      </c>
      <c r="I164" s="22">
        <f t="shared" si="62"/>
        <v>100</v>
      </c>
      <c r="J164" s="22">
        <v>0</v>
      </c>
      <c r="K164" s="22">
        <v>100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f>SUM(N164:N164)</f>
        <v>0</v>
      </c>
    </row>
    <row r="165" spans="1:17" s="7" customFormat="1" ht="17.25" customHeight="1">
      <c r="A165" s="108" t="s">
        <v>169</v>
      </c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10"/>
    </row>
    <row r="166" spans="1:17" s="16" customFormat="1" ht="22.9" customHeight="1">
      <c r="A166" s="25">
        <v>54</v>
      </c>
      <c r="B166" s="44" t="s">
        <v>170</v>
      </c>
      <c r="C166" s="27" t="s">
        <v>93</v>
      </c>
      <c r="D166" s="28" t="s">
        <v>28</v>
      </c>
      <c r="E166" s="29">
        <f>F166</f>
        <v>115553.057</v>
      </c>
      <c r="F166" s="30">
        <f t="shared" ref="F166:F202" si="69">G166+I166+J166+Q166</f>
        <v>115553.057</v>
      </c>
      <c r="G166" s="31">
        <f>G167</f>
        <v>65474.377</v>
      </c>
      <c r="H166" s="31">
        <f t="shared" ref="H166:H202" si="70">G166+J166</f>
        <v>69651.37</v>
      </c>
      <c r="I166" s="30">
        <f t="shared" ref="I166:I202" si="71">SUM(K166:O166)</f>
        <v>41901.686999999998</v>
      </c>
      <c r="J166" s="30">
        <f t="shared" ref="J166:Q166" si="72">SUM(J167)</f>
        <v>4176.9930000000004</v>
      </c>
      <c r="K166" s="30">
        <f t="shared" si="72"/>
        <v>8891.6869999999999</v>
      </c>
      <c r="L166" s="30">
        <f t="shared" si="72"/>
        <v>7010</v>
      </c>
      <c r="M166" s="30">
        <f t="shared" si="72"/>
        <v>8000</v>
      </c>
      <c r="N166" s="30">
        <f t="shared" si="72"/>
        <v>8000</v>
      </c>
      <c r="O166" s="30">
        <f t="shared" si="72"/>
        <v>10000</v>
      </c>
      <c r="P166" s="30">
        <f t="shared" si="72"/>
        <v>4000</v>
      </c>
      <c r="Q166" s="30">
        <f t="shared" si="72"/>
        <v>4000</v>
      </c>
    </row>
    <row r="167" spans="1:17" s="16" customFormat="1" ht="10.9" customHeight="1">
      <c r="A167" s="40"/>
      <c r="B167" s="18" t="s">
        <v>29</v>
      </c>
      <c r="C167" s="19"/>
      <c r="D167" s="20"/>
      <c r="E167" s="21"/>
      <c r="F167" s="22">
        <f t="shared" si="69"/>
        <v>115553.057</v>
      </c>
      <c r="G167" s="23">
        <v>65474.377</v>
      </c>
      <c r="H167" s="22">
        <f t="shared" si="70"/>
        <v>69651.37</v>
      </c>
      <c r="I167" s="22">
        <f t="shared" si="71"/>
        <v>41901.686999999998</v>
      </c>
      <c r="J167" s="22">
        <v>4176.9930000000004</v>
      </c>
      <c r="K167" s="22">
        <v>8891.6869999999999</v>
      </c>
      <c r="L167" s="24">
        <f>6000+900+60+50</f>
        <v>7010</v>
      </c>
      <c r="M167" s="22">
        <f>10000-2000</f>
        <v>8000</v>
      </c>
      <c r="N167" s="22">
        <f>10000-2000</f>
        <v>8000</v>
      </c>
      <c r="O167" s="22">
        <v>10000</v>
      </c>
      <c r="P167" s="22">
        <v>4000</v>
      </c>
      <c r="Q167" s="22">
        <v>4000</v>
      </c>
    </row>
    <row r="168" spans="1:17" s="16" customFormat="1" ht="22.9" customHeight="1">
      <c r="A168" s="25">
        <v>55</v>
      </c>
      <c r="B168" s="44" t="s">
        <v>171</v>
      </c>
      <c r="C168" s="27" t="s">
        <v>93</v>
      </c>
      <c r="D168" s="28" t="s">
        <v>84</v>
      </c>
      <c r="E168" s="29">
        <f>F169+F170</f>
        <v>10346.789000000001</v>
      </c>
      <c r="F168" s="30">
        <f t="shared" si="69"/>
        <v>10886.789000000001</v>
      </c>
      <c r="G168" s="31">
        <f>G169+G170+G171</f>
        <v>4414.7889999999998</v>
      </c>
      <c r="H168" s="31">
        <f t="shared" si="70"/>
        <v>5886.7889999999998</v>
      </c>
      <c r="I168" s="30">
        <f t="shared" si="71"/>
        <v>5000</v>
      </c>
      <c r="J168" s="30">
        <f>SUM(J169)</f>
        <v>1472</v>
      </c>
      <c r="K168" s="31">
        <f t="shared" ref="K168:Q168" si="73">SUM(K169:K171)</f>
        <v>1950</v>
      </c>
      <c r="L168" s="30">
        <f t="shared" si="73"/>
        <v>1250</v>
      </c>
      <c r="M168" s="30">
        <f t="shared" si="73"/>
        <v>1800</v>
      </c>
      <c r="N168" s="30">
        <f t="shared" si="73"/>
        <v>0</v>
      </c>
      <c r="O168" s="30">
        <f t="shared" si="73"/>
        <v>0</v>
      </c>
      <c r="P168" s="30">
        <f t="shared" si="73"/>
        <v>0</v>
      </c>
      <c r="Q168" s="30">
        <f t="shared" si="73"/>
        <v>0</v>
      </c>
    </row>
    <row r="169" spans="1:17" s="16" customFormat="1" ht="10.9" customHeight="1">
      <c r="A169" s="40"/>
      <c r="B169" s="18" t="s">
        <v>29</v>
      </c>
      <c r="C169" s="19"/>
      <c r="D169" s="20"/>
      <c r="E169" s="21"/>
      <c r="F169" s="22">
        <f t="shared" si="69"/>
        <v>10346.789000000001</v>
      </c>
      <c r="G169" s="23">
        <v>4414.7889999999998</v>
      </c>
      <c r="H169" s="22">
        <f t="shared" si="70"/>
        <v>5886.7889999999998</v>
      </c>
      <c r="I169" s="22">
        <f t="shared" si="71"/>
        <v>4460</v>
      </c>
      <c r="J169" s="22">
        <v>1472</v>
      </c>
      <c r="K169" s="22">
        <f>1570+200</f>
        <v>1770</v>
      </c>
      <c r="L169" s="22">
        <f>820+250</f>
        <v>1070</v>
      </c>
      <c r="M169" s="22">
        <f>1020+600</f>
        <v>1620</v>
      </c>
      <c r="N169" s="22">
        <v>0</v>
      </c>
      <c r="O169" s="22">
        <v>0</v>
      </c>
      <c r="P169" s="22">
        <v>0</v>
      </c>
      <c r="Q169" s="22">
        <v>0</v>
      </c>
    </row>
    <row r="170" spans="1:17" s="16" customFormat="1" ht="10.9" customHeight="1">
      <c r="A170" s="40"/>
      <c r="B170" s="18" t="s">
        <v>41</v>
      </c>
      <c r="C170" s="19"/>
      <c r="D170" s="20"/>
      <c r="E170" s="21"/>
      <c r="F170" s="22">
        <f t="shared" si="69"/>
        <v>0</v>
      </c>
      <c r="G170" s="23">
        <v>0</v>
      </c>
      <c r="H170" s="22">
        <f t="shared" si="70"/>
        <v>0</v>
      </c>
      <c r="I170" s="22">
        <f t="shared" si="71"/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</row>
    <row r="171" spans="1:17" s="16" customFormat="1" ht="10.9" customHeight="1">
      <c r="A171" s="40"/>
      <c r="B171" s="18" t="s">
        <v>172</v>
      </c>
      <c r="C171" s="19"/>
      <c r="D171" s="20"/>
      <c r="E171" s="21"/>
      <c r="F171" s="22">
        <f t="shared" si="69"/>
        <v>540</v>
      </c>
      <c r="G171" s="23">
        <v>0</v>
      </c>
      <c r="H171" s="22">
        <f t="shared" si="70"/>
        <v>0</v>
      </c>
      <c r="I171" s="22">
        <f t="shared" si="71"/>
        <v>540</v>
      </c>
      <c r="J171" s="22">
        <v>0</v>
      </c>
      <c r="K171" s="22">
        <v>180</v>
      </c>
      <c r="L171" s="22">
        <v>180</v>
      </c>
      <c r="M171" s="22">
        <v>180</v>
      </c>
      <c r="N171" s="22">
        <v>0</v>
      </c>
      <c r="O171" s="22">
        <v>0</v>
      </c>
      <c r="P171" s="22">
        <v>0</v>
      </c>
      <c r="Q171" s="22">
        <v>0</v>
      </c>
    </row>
    <row r="172" spans="1:17" s="16" customFormat="1" ht="27.75" customHeight="1">
      <c r="A172" s="25">
        <v>56</v>
      </c>
      <c r="B172" s="41" t="s">
        <v>173</v>
      </c>
      <c r="C172" s="27" t="s">
        <v>174</v>
      </c>
      <c r="D172" s="28" t="s">
        <v>44</v>
      </c>
      <c r="E172" s="29">
        <f>F172</f>
        <v>26694.583999999999</v>
      </c>
      <c r="F172" s="30">
        <f t="shared" si="69"/>
        <v>26694.583999999999</v>
      </c>
      <c r="G172" s="31">
        <f>G173</f>
        <v>20178.524000000001</v>
      </c>
      <c r="H172" s="31">
        <f t="shared" si="70"/>
        <v>23436.554</v>
      </c>
      <c r="I172" s="30">
        <f t="shared" si="71"/>
        <v>3258.03</v>
      </c>
      <c r="J172" s="30">
        <f t="shared" ref="J172:Q172" si="74">SUM(J173:J173)</f>
        <v>3258.03</v>
      </c>
      <c r="K172" s="30">
        <f t="shared" si="74"/>
        <v>3258.03</v>
      </c>
      <c r="L172" s="30">
        <f t="shared" si="74"/>
        <v>0</v>
      </c>
      <c r="M172" s="30">
        <f t="shared" si="74"/>
        <v>0</v>
      </c>
      <c r="N172" s="30">
        <f t="shared" si="74"/>
        <v>0</v>
      </c>
      <c r="O172" s="30">
        <f t="shared" si="74"/>
        <v>0</v>
      </c>
      <c r="P172" s="30">
        <f t="shared" si="74"/>
        <v>0</v>
      </c>
      <c r="Q172" s="30">
        <f t="shared" si="74"/>
        <v>0</v>
      </c>
    </row>
    <row r="173" spans="1:17" s="16" customFormat="1" ht="10.9" customHeight="1">
      <c r="A173" s="40"/>
      <c r="B173" s="18" t="s">
        <v>29</v>
      </c>
      <c r="C173" s="19"/>
      <c r="D173" s="20"/>
      <c r="E173" s="21"/>
      <c r="F173" s="22">
        <f t="shared" si="69"/>
        <v>26694.583999999999</v>
      </c>
      <c r="G173" s="23">
        <v>20178.524000000001</v>
      </c>
      <c r="H173" s="22">
        <f t="shared" si="70"/>
        <v>23436.554</v>
      </c>
      <c r="I173" s="22">
        <f t="shared" si="71"/>
        <v>3258.03</v>
      </c>
      <c r="J173" s="22">
        <v>3258.03</v>
      </c>
      <c r="K173" s="22">
        <v>3258.03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</row>
    <row r="174" spans="1:17" s="16" customFormat="1" ht="25.15" customHeight="1">
      <c r="A174" s="25">
        <v>57</v>
      </c>
      <c r="B174" s="44" t="s">
        <v>300</v>
      </c>
      <c r="C174" s="27" t="s">
        <v>175</v>
      </c>
      <c r="D174" s="28" t="s">
        <v>176</v>
      </c>
      <c r="E174" s="29">
        <f>F174</f>
        <v>18120.100000000002</v>
      </c>
      <c r="F174" s="30">
        <f t="shared" si="69"/>
        <v>18120.100000000002</v>
      </c>
      <c r="G174" s="31">
        <f>G175+G176</f>
        <v>0</v>
      </c>
      <c r="H174" s="31">
        <f t="shared" si="70"/>
        <v>0</v>
      </c>
      <c r="I174" s="31">
        <f t="shared" si="71"/>
        <v>18120.100000000002</v>
      </c>
      <c r="J174" s="30">
        <f t="shared" ref="J174:Q174" si="75">SUM(J175:J176)</f>
        <v>0</v>
      </c>
      <c r="K174" s="30">
        <f t="shared" si="75"/>
        <v>0</v>
      </c>
      <c r="L174" s="30">
        <f t="shared" si="75"/>
        <v>196.9</v>
      </c>
      <c r="M174" s="30">
        <f t="shared" si="75"/>
        <v>17923.2</v>
      </c>
      <c r="N174" s="30">
        <f t="shared" si="75"/>
        <v>0</v>
      </c>
      <c r="O174" s="30">
        <f t="shared" si="75"/>
        <v>0</v>
      </c>
      <c r="P174" s="30">
        <f t="shared" si="75"/>
        <v>0</v>
      </c>
      <c r="Q174" s="30">
        <f t="shared" si="75"/>
        <v>0</v>
      </c>
    </row>
    <row r="175" spans="1:17" s="16" customFormat="1" ht="11.45" customHeight="1">
      <c r="A175" s="17"/>
      <c r="B175" s="18" t="s">
        <v>29</v>
      </c>
      <c r="C175" s="22"/>
      <c r="D175" s="22"/>
      <c r="E175" s="22"/>
      <c r="F175" s="49">
        <f t="shared" si="69"/>
        <v>5888.3239999999996</v>
      </c>
      <c r="G175" s="22">
        <v>0</v>
      </c>
      <c r="H175" s="22">
        <f t="shared" si="70"/>
        <v>0</v>
      </c>
      <c r="I175" s="22">
        <f t="shared" si="71"/>
        <v>5888.3239999999996</v>
      </c>
      <c r="J175" s="50">
        <v>0</v>
      </c>
      <c r="K175" s="51">
        <v>0</v>
      </c>
      <c r="L175" s="53">
        <v>171.4</v>
      </c>
      <c r="M175" s="53">
        <v>5716.924</v>
      </c>
      <c r="N175" s="52">
        <v>0</v>
      </c>
      <c r="O175" s="52">
        <v>0</v>
      </c>
      <c r="P175" s="53">
        <v>0</v>
      </c>
      <c r="Q175" s="50">
        <v>0</v>
      </c>
    </row>
    <row r="176" spans="1:17" s="16" customFormat="1" ht="11.45" customHeight="1">
      <c r="A176" s="17"/>
      <c r="B176" s="18" t="s">
        <v>41</v>
      </c>
      <c r="C176" s="22"/>
      <c r="D176" s="22"/>
      <c r="E176" s="22"/>
      <c r="F176" s="49">
        <f t="shared" si="69"/>
        <v>12231.776</v>
      </c>
      <c r="G176" s="22">
        <v>0</v>
      </c>
      <c r="H176" s="22">
        <f t="shared" si="70"/>
        <v>0</v>
      </c>
      <c r="I176" s="22">
        <f t="shared" si="71"/>
        <v>12231.776</v>
      </c>
      <c r="J176" s="50">
        <v>0</v>
      </c>
      <c r="K176" s="50">
        <v>0</v>
      </c>
      <c r="L176" s="53">
        <v>25.5</v>
      </c>
      <c r="M176" s="53">
        <v>12206.276</v>
      </c>
      <c r="N176" s="52">
        <v>0</v>
      </c>
      <c r="O176" s="52">
        <v>0</v>
      </c>
      <c r="P176" s="53">
        <v>0</v>
      </c>
      <c r="Q176" s="50">
        <v>0</v>
      </c>
    </row>
    <row r="177" spans="1:17" s="16" customFormat="1" ht="25.15" customHeight="1">
      <c r="A177" s="25">
        <v>58</v>
      </c>
      <c r="B177" s="44" t="s">
        <v>177</v>
      </c>
      <c r="C177" s="27" t="s">
        <v>93</v>
      </c>
      <c r="D177" s="56">
        <v>2017</v>
      </c>
      <c r="E177" s="29">
        <f>F177</f>
        <v>999.99900000000002</v>
      </c>
      <c r="F177" s="30">
        <f t="shared" si="69"/>
        <v>999.99900000000002</v>
      </c>
      <c r="G177" s="31">
        <f>G178+G179</f>
        <v>0</v>
      </c>
      <c r="H177" s="31">
        <f t="shared" si="70"/>
        <v>0</v>
      </c>
      <c r="I177" s="31">
        <f t="shared" si="71"/>
        <v>999.99900000000002</v>
      </c>
      <c r="J177" s="30">
        <f t="shared" ref="J177:Q177" si="76">SUM(J178:J179)</f>
        <v>0</v>
      </c>
      <c r="K177" s="30">
        <f t="shared" si="76"/>
        <v>0</v>
      </c>
      <c r="L177" s="30">
        <f t="shared" si="76"/>
        <v>0</v>
      </c>
      <c r="M177" s="30">
        <f t="shared" si="76"/>
        <v>999.99900000000002</v>
      </c>
      <c r="N177" s="30">
        <f t="shared" si="76"/>
        <v>0</v>
      </c>
      <c r="O177" s="30">
        <f t="shared" si="76"/>
        <v>0</v>
      </c>
      <c r="P177" s="30">
        <f t="shared" si="76"/>
        <v>0</v>
      </c>
      <c r="Q177" s="30">
        <f t="shared" si="76"/>
        <v>0</v>
      </c>
    </row>
    <row r="178" spans="1:17" s="16" customFormat="1" ht="11.45" customHeight="1">
      <c r="A178" s="17"/>
      <c r="B178" s="18" t="s">
        <v>29</v>
      </c>
      <c r="C178" s="22"/>
      <c r="D178" s="22"/>
      <c r="E178" s="22"/>
      <c r="F178" s="49">
        <f t="shared" si="69"/>
        <v>308.94400000000002</v>
      </c>
      <c r="G178" s="22">
        <v>0</v>
      </c>
      <c r="H178" s="22">
        <f t="shared" si="70"/>
        <v>0</v>
      </c>
      <c r="I178" s="22">
        <f t="shared" si="71"/>
        <v>308.94400000000002</v>
      </c>
      <c r="J178" s="50">
        <v>0</v>
      </c>
      <c r="K178" s="51">
        <v>0</v>
      </c>
      <c r="L178" s="53">
        <v>0</v>
      </c>
      <c r="M178" s="53">
        <v>308.94400000000002</v>
      </c>
      <c r="N178" s="52">
        <v>0</v>
      </c>
      <c r="O178" s="52">
        <v>0</v>
      </c>
      <c r="P178" s="53">
        <v>0</v>
      </c>
      <c r="Q178" s="50">
        <v>0</v>
      </c>
    </row>
    <row r="179" spans="1:17" s="16" customFormat="1" ht="11.45" customHeight="1">
      <c r="A179" s="17"/>
      <c r="B179" s="18" t="s">
        <v>41</v>
      </c>
      <c r="C179" s="22"/>
      <c r="D179" s="22"/>
      <c r="E179" s="22"/>
      <c r="F179" s="49">
        <f t="shared" si="69"/>
        <v>691.05499999999995</v>
      </c>
      <c r="G179" s="22">
        <v>0</v>
      </c>
      <c r="H179" s="22">
        <f t="shared" si="70"/>
        <v>0</v>
      </c>
      <c r="I179" s="22">
        <f t="shared" si="71"/>
        <v>691.05499999999995</v>
      </c>
      <c r="J179" s="50">
        <v>0</v>
      </c>
      <c r="K179" s="50">
        <v>0</v>
      </c>
      <c r="L179" s="53">
        <v>0</v>
      </c>
      <c r="M179" s="53">
        <v>691.05499999999995</v>
      </c>
      <c r="N179" s="52">
        <v>0</v>
      </c>
      <c r="O179" s="52">
        <v>0</v>
      </c>
      <c r="P179" s="53">
        <v>0</v>
      </c>
      <c r="Q179" s="50">
        <v>0</v>
      </c>
    </row>
    <row r="180" spans="1:17" s="16" customFormat="1" ht="25.15" customHeight="1">
      <c r="A180" s="25">
        <v>59</v>
      </c>
      <c r="B180" s="44" t="s">
        <v>306</v>
      </c>
      <c r="C180" s="27" t="s">
        <v>93</v>
      </c>
      <c r="D180" s="56">
        <v>2017</v>
      </c>
      <c r="E180" s="29">
        <f>F180</f>
        <v>699.99900000000002</v>
      </c>
      <c r="F180" s="30">
        <f t="shared" si="69"/>
        <v>699.99900000000002</v>
      </c>
      <c r="G180" s="31">
        <f>G181+G182</f>
        <v>0</v>
      </c>
      <c r="H180" s="31">
        <f t="shared" si="70"/>
        <v>0</v>
      </c>
      <c r="I180" s="31">
        <f t="shared" si="71"/>
        <v>699.99900000000002</v>
      </c>
      <c r="J180" s="30">
        <f t="shared" ref="J180:Q180" si="77">SUM(J181:J182)</f>
        <v>0</v>
      </c>
      <c r="K180" s="30">
        <f t="shared" si="77"/>
        <v>0</v>
      </c>
      <c r="L180" s="30">
        <f t="shared" si="77"/>
        <v>0</v>
      </c>
      <c r="M180" s="30">
        <f t="shared" si="77"/>
        <v>699.99900000000002</v>
      </c>
      <c r="N180" s="30">
        <f t="shared" si="77"/>
        <v>0</v>
      </c>
      <c r="O180" s="30">
        <f t="shared" si="77"/>
        <v>0</v>
      </c>
      <c r="P180" s="30">
        <f t="shared" si="77"/>
        <v>0</v>
      </c>
      <c r="Q180" s="30">
        <f t="shared" si="77"/>
        <v>0</v>
      </c>
    </row>
    <row r="181" spans="1:17" s="16" customFormat="1" ht="11.45" customHeight="1">
      <c r="A181" s="17"/>
      <c r="B181" s="18" t="s">
        <v>29</v>
      </c>
      <c r="C181" s="22"/>
      <c r="D181" s="22"/>
      <c r="E181" s="22"/>
      <c r="F181" s="49">
        <f t="shared" si="69"/>
        <v>216.26</v>
      </c>
      <c r="G181" s="22">
        <v>0</v>
      </c>
      <c r="H181" s="22">
        <f t="shared" si="70"/>
        <v>0</v>
      </c>
      <c r="I181" s="22">
        <f t="shared" si="71"/>
        <v>216.26</v>
      </c>
      <c r="J181" s="50">
        <v>0</v>
      </c>
      <c r="K181" s="51">
        <v>0</v>
      </c>
      <c r="L181" s="53">
        <v>0</v>
      </c>
      <c r="M181" s="53">
        <v>216.26</v>
      </c>
      <c r="N181" s="52">
        <v>0</v>
      </c>
      <c r="O181" s="52">
        <v>0</v>
      </c>
      <c r="P181" s="53">
        <v>0</v>
      </c>
      <c r="Q181" s="50">
        <v>0</v>
      </c>
    </row>
    <row r="182" spans="1:17" s="16" customFormat="1" ht="11.45" customHeight="1">
      <c r="A182" s="17"/>
      <c r="B182" s="18" t="s">
        <v>41</v>
      </c>
      <c r="C182" s="22"/>
      <c r="D182" s="22"/>
      <c r="E182" s="22"/>
      <c r="F182" s="49">
        <f t="shared" si="69"/>
        <v>483.73899999999998</v>
      </c>
      <c r="G182" s="22">
        <v>0</v>
      </c>
      <c r="H182" s="22">
        <f t="shared" si="70"/>
        <v>0</v>
      </c>
      <c r="I182" s="22">
        <f t="shared" si="71"/>
        <v>483.73899999999998</v>
      </c>
      <c r="J182" s="50">
        <v>0</v>
      </c>
      <c r="K182" s="50">
        <v>0</v>
      </c>
      <c r="L182" s="53">
        <v>0</v>
      </c>
      <c r="M182" s="53">
        <v>483.73899999999998</v>
      </c>
      <c r="N182" s="52">
        <v>0</v>
      </c>
      <c r="O182" s="52">
        <v>0</v>
      </c>
      <c r="P182" s="53">
        <v>0</v>
      </c>
      <c r="Q182" s="50">
        <v>0</v>
      </c>
    </row>
    <row r="183" spans="1:17" s="16" customFormat="1" ht="25.15" customHeight="1">
      <c r="A183" s="25">
        <v>60</v>
      </c>
      <c r="B183" s="44" t="s">
        <v>178</v>
      </c>
      <c r="C183" s="27" t="s">
        <v>303</v>
      </c>
      <c r="D183" s="56">
        <v>2017</v>
      </c>
      <c r="E183" s="29">
        <f>F183</f>
        <v>2000</v>
      </c>
      <c r="F183" s="30">
        <f t="shared" si="69"/>
        <v>2000</v>
      </c>
      <c r="G183" s="31">
        <f>G184+G185</f>
        <v>0</v>
      </c>
      <c r="H183" s="31">
        <f t="shared" si="70"/>
        <v>0</v>
      </c>
      <c r="I183" s="31">
        <f t="shared" si="71"/>
        <v>2000</v>
      </c>
      <c r="J183" s="30">
        <f t="shared" ref="J183:Q183" si="78">SUM(J184:J185)</f>
        <v>0</v>
      </c>
      <c r="K183" s="30">
        <f t="shared" si="78"/>
        <v>0</v>
      </c>
      <c r="L183" s="30">
        <f t="shared" si="78"/>
        <v>0</v>
      </c>
      <c r="M183" s="30">
        <f t="shared" si="78"/>
        <v>2000</v>
      </c>
      <c r="N183" s="30">
        <f t="shared" si="78"/>
        <v>0</v>
      </c>
      <c r="O183" s="30">
        <f t="shared" si="78"/>
        <v>0</v>
      </c>
      <c r="P183" s="30">
        <f t="shared" si="78"/>
        <v>0</v>
      </c>
      <c r="Q183" s="30">
        <f t="shared" si="78"/>
        <v>0</v>
      </c>
    </row>
    <row r="184" spans="1:17" s="16" customFormat="1" ht="11.45" customHeight="1">
      <c r="A184" s="17"/>
      <c r="B184" s="18" t="s">
        <v>29</v>
      </c>
      <c r="C184" s="22"/>
      <c r="D184" s="22"/>
      <c r="E184" s="22"/>
      <c r="F184" s="49">
        <f t="shared" si="69"/>
        <v>617.88599999999997</v>
      </c>
      <c r="G184" s="22">
        <v>0</v>
      </c>
      <c r="H184" s="22">
        <f t="shared" si="70"/>
        <v>0</v>
      </c>
      <c r="I184" s="22">
        <f t="shared" si="71"/>
        <v>617.88599999999997</v>
      </c>
      <c r="J184" s="50">
        <v>0</v>
      </c>
      <c r="K184" s="51">
        <v>0</v>
      </c>
      <c r="L184" s="53">
        <v>0</v>
      </c>
      <c r="M184" s="53">
        <v>617.88599999999997</v>
      </c>
      <c r="N184" s="52">
        <v>0</v>
      </c>
      <c r="O184" s="52">
        <v>0</v>
      </c>
      <c r="P184" s="53">
        <v>0</v>
      </c>
      <c r="Q184" s="50">
        <v>0</v>
      </c>
    </row>
    <row r="185" spans="1:17" s="16" customFormat="1" ht="11.45" customHeight="1">
      <c r="A185" s="17"/>
      <c r="B185" s="18" t="s">
        <v>41</v>
      </c>
      <c r="C185" s="22"/>
      <c r="D185" s="22"/>
      <c r="E185" s="22"/>
      <c r="F185" s="49">
        <f t="shared" si="69"/>
        <v>1382.114</v>
      </c>
      <c r="G185" s="22">
        <v>0</v>
      </c>
      <c r="H185" s="22">
        <f t="shared" si="70"/>
        <v>0</v>
      </c>
      <c r="I185" s="22">
        <f t="shared" si="71"/>
        <v>1382.114</v>
      </c>
      <c r="J185" s="50">
        <v>0</v>
      </c>
      <c r="K185" s="50">
        <v>0</v>
      </c>
      <c r="L185" s="53">
        <v>0</v>
      </c>
      <c r="M185" s="53">
        <v>1382.114</v>
      </c>
      <c r="N185" s="52">
        <v>0</v>
      </c>
      <c r="O185" s="52">
        <v>0</v>
      </c>
      <c r="P185" s="53">
        <v>0</v>
      </c>
      <c r="Q185" s="50">
        <v>0</v>
      </c>
    </row>
    <row r="186" spans="1:17" s="16" customFormat="1" ht="25.15" customHeight="1">
      <c r="A186" s="25">
        <v>61</v>
      </c>
      <c r="B186" s="44" t="s">
        <v>179</v>
      </c>
      <c r="C186" s="27" t="s">
        <v>93</v>
      </c>
      <c r="D186" s="56">
        <v>2017</v>
      </c>
      <c r="E186" s="29">
        <f>F186</f>
        <v>1250</v>
      </c>
      <c r="F186" s="30">
        <f t="shared" si="69"/>
        <v>1250</v>
      </c>
      <c r="G186" s="31">
        <f>G187+G188</f>
        <v>0</v>
      </c>
      <c r="H186" s="31">
        <f t="shared" si="70"/>
        <v>0</v>
      </c>
      <c r="I186" s="31">
        <f t="shared" si="71"/>
        <v>1250</v>
      </c>
      <c r="J186" s="30">
        <f t="shared" ref="J186:Q186" si="79">SUM(J187:J188)</f>
        <v>0</v>
      </c>
      <c r="K186" s="30">
        <f t="shared" si="79"/>
        <v>0</v>
      </c>
      <c r="L186" s="30">
        <f t="shared" si="79"/>
        <v>0</v>
      </c>
      <c r="M186" s="30">
        <f t="shared" si="79"/>
        <v>1250</v>
      </c>
      <c r="N186" s="30">
        <f t="shared" si="79"/>
        <v>0</v>
      </c>
      <c r="O186" s="30">
        <f t="shared" si="79"/>
        <v>0</v>
      </c>
      <c r="P186" s="30">
        <f t="shared" si="79"/>
        <v>0</v>
      </c>
      <c r="Q186" s="30">
        <f t="shared" si="79"/>
        <v>0</v>
      </c>
    </row>
    <row r="187" spans="1:17" s="16" customFormat="1" ht="11.45" customHeight="1">
      <c r="A187" s="17"/>
      <c r="B187" s="18" t="s">
        <v>29</v>
      </c>
      <c r="C187" s="22"/>
      <c r="D187" s="22"/>
      <c r="E187" s="22"/>
      <c r="F187" s="49">
        <f t="shared" si="69"/>
        <v>386.17899999999997</v>
      </c>
      <c r="G187" s="22">
        <v>0</v>
      </c>
      <c r="H187" s="22">
        <f t="shared" si="70"/>
        <v>0</v>
      </c>
      <c r="I187" s="22">
        <f t="shared" si="71"/>
        <v>386.17899999999997</v>
      </c>
      <c r="J187" s="50">
        <v>0</v>
      </c>
      <c r="K187" s="51">
        <v>0</v>
      </c>
      <c r="L187" s="53">
        <v>0</v>
      </c>
      <c r="M187" s="53">
        <v>386.17899999999997</v>
      </c>
      <c r="N187" s="52">
        <v>0</v>
      </c>
      <c r="O187" s="52">
        <v>0</v>
      </c>
      <c r="P187" s="53">
        <v>0</v>
      </c>
      <c r="Q187" s="50">
        <v>0</v>
      </c>
    </row>
    <row r="188" spans="1:17" s="16" customFormat="1" ht="11.45" customHeight="1">
      <c r="A188" s="17"/>
      <c r="B188" s="18" t="s">
        <v>41</v>
      </c>
      <c r="C188" s="22"/>
      <c r="D188" s="22"/>
      <c r="E188" s="22"/>
      <c r="F188" s="49">
        <f t="shared" si="69"/>
        <v>863.82100000000003</v>
      </c>
      <c r="G188" s="22">
        <v>0</v>
      </c>
      <c r="H188" s="22">
        <f t="shared" si="70"/>
        <v>0</v>
      </c>
      <c r="I188" s="22">
        <f t="shared" si="71"/>
        <v>863.82100000000003</v>
      </c>
      <c r="J188" s="50">
        <v>0</v>
      </c>
      <c r="K188" s="50">
        <v>0</v>
      </c>
      <c r="L188" s="53">
        <v>0</v>
      </c>
      <c r="M188" s="53">
        <v>863.82100000000003</v>
      </c>
      <c r="N188" s="52">
        <v>0</v>
      </c>
      <c r="O188" s="52">
        <v>0</v>
      </c>
      <c r="P188" s="53">
        <v>0</v>
      </c>
      <c r="Q188" s="50">
        <v>0</v>
      </c>
    </row>
    <row r="189" spans="1:17" s="16" customFormat="1" ht="35.25" customHeight="1">
      <c r="A189" s="25">
        <v>62</v>
      </c>
      <c r="B189" s="44" t="s">
        <v>304</v>
      </c>
      <c r="C189" s="27" t="s">
        <v>93</v>
      </c>
      <c r="D189" s="56">
        <v>2016</v>
      </c>
      <c r="E189" s="29">
        <f>F189</f>
        <v>1000</v>
      </c>
      <c r="F189" s="30">
        <f t="shared" si="69"/>
        <v>1000</v>
      </c>
      <c r="G189" s="31">
        <f>G190+G191</f>
        <v>0</v>
      </c>
      <c r="H189" s="31">
        <f t="shared" si="70"/>
        <v>0</v>
      </c>
      <c r="I189" s="31">
        <f t="shared" si="71"/>
        <v>1000</v>
      </c>
      <c r="J189" s="30">
        <f t="shared" ref="J189:Q189" si="80">SUM(J190:J191)</f>
        <v>0</v>
      </c>
      <c r="K189" s="30">
        <f t="shared" si="80"/>
        <v>0</v>
      </c>
      <c r="L189" s="30">
        <f t="shared" si="80"/>
        <v>1000</v>
      </c>
      <c r="M189" s="30">
        <f t="shared" si="80"/>
        <v>0</v>
      </c>
      <c r="N189" s="30">
        <f t="shared" si="80"/>
        <v>0</v>
      </c>
      <c r="O189" s="30">
        <f t="shared" si="80"/>
        <v>0</v>
      </c>
      <c r="P189" s="30">
        <f t="shared" si="80"/>
        <v>0</v>
      </c>
      <c r="Q189" s="30">
        <f t="shared" si="80"/>
        <v>0</v>
      </c>
    </row>
    <row r="190" spans="1:17" s="16" customFormat="1" ht="11.45" customHeight="1">
      <c r="A190" s="17"/>
      <c r="B190" s="18" t="s">
        <v>29</v>
      </c>
      <c r="C190" s="22"/>
      <c r="D190" s="22"/>
      <c r="E190" s="22"/>
      <c r="F190" s="49">
        <f t="shared" si="69"/>
        <v>308.94299999999998</v>
      </c>
      <c r="G190" s="22">
        <v>0</v>
      </c>
      <c r="H190" s="22">
        <f t="shared" si="70"/>
        <v>0</v>
      </c>
      <c r="I190" s="22">
        <f t="shared" si="71"/>
        <v>308.94299999999998</v>
      </c>
      <c r="J190" s="50">
        <v>0</v>
      </c>
      <c r="K190" s="51">
        <v>0</v>
      </c>
      <c r="L190" s="53">
        <v>308.94299999999998</v>
      </c>
      <c r="M190" s="53">
        <v>0</v>
      </c>
      <c r="N190" s="52">
        <v>0</v>
      </c>
      <c r="O190" s="52">
        <v>0</v>
      </c>
      <c r="P190" s="53">
        <v>0</v>
      </c>
      <c r="Q190" s="50">
        <v>0</v>
      </c>
    </row>
    <row r="191" spans="1:17" s="16" customFormat="1" ht="11.45" customHeight="1">
      <c r="A191" s="17"/>
      <c r="B191" s="18" t="s">
        <v>41</v>
      </c>
      <c r="C191" s="22"/>
      <c r="D191" s="22"/>
      <c r="E191" s="22"/>
      <c r="F191" s="49">
        <f t="shared" si="69"/>
        <v>691.05700000000002</v>
      </c>
      <c r="G191" s="22">
        <v>0</v>
      </c>
      <c r="H191" s="22">
        <f t="shared" si="70"/>
        <v>0</v>
      </c>
      <c r="I191" s="22">
        <f t="shared" si="71"/>
        <v>691.05700000000002</v>
      </c>
      <c r="J191" s="50">
        <v>0</v>
      </c>
      <c r="K191" s="50">
        <v>0</v>
      </c>
      <c r="L191" s="53">
        <v>691.05700000000002</v>
      </c>
      <c r="M191" s="53">
        <v>0</v>
      </c>
      <c r="N191" s="52">
        <v>0</v>
      </c>
      <c r="O191" s="52">
        <v>0</v>
      </c>
      <c r="P191" s="53">
        <v>0</v>
      </c>
      <c r="Q191" s="50">
        <v>0</v>
      </c>
    </row>
    <row r="192" spans="1:17" s="16" customFormat="1" ht="25.15" customHeight="1">
      <c r="A192" s="25">
        <v>63</v>
      </c>
      <c r="B192" s="44" t="s">
        <v>305</v>
      </c>
      <c r="C192" s="27" t="s">
        <v>93</v>
      </c>
      <c r="D192" s="56">
        <v>2017</v>
      </c>
      <c r="E192" s="29">
        <f>F192</f>
        <v>3400</v>
      </c>
      <c r="F192" s="30">
        <f t="shared" si="69"/>
        <v>3400</v>
      </c>
      <c r="G192" s="31">
        <f>G193+G194</f>
        <v>0</v>
      </c>
      <c r="H192" s="31">
        <f t="shared" si="70"/>
        <v>0</v>
      </c>
      <c r="I192" s="31">
        <f t="shared" si="71"/>
        <v>3400</v>
      </c>
      <c r="J192" s="30">
        <f t="shared" ref="J192:Q192" si="81">SUM(J193:J194)</f>
        <v>0</v>
      </c>
      <c r="K192" s="30">
        <f t="shared" si="81"/>
        <v>0</v>
      </c>
      <c r="L192" s="30">
        <f t="shared" si="81"/>
        <v>0</v>
      </c>
      <c r="M192" s="30">
        <f t="shared" si="81"/>
        <v>3400</v>
      </c>
      <c r="N192" s="30">
        <f t="shared" si="81"/>
        <v>0</v>
      </c>
      <c r="O192" s="30">
        <f t="shared" si="81"/>
        <v>0</v>
      </c>
      <c r="P192" s="30">
        <f t="shared" si="81"/>
        <v>0</v>
      </c>
      <c r="Q192" s="30">
        <f t="shared" si="81"/>
        <v>0</v>
      </c>
    </row>
    <row r="193" spans="1:17" s="16" customFormat="1" ht="11.45" customHeight="1">
      <c r="A193" s="17"/>
      <c r="B193" s="18" t="s">
        <v>29</v>
      </c>
      <c r="C193" s="22"/>
      <c r="D193" s="22"/>
      <c r="E193" s="22"/>
      <c r="F193" s="49">
        <f t="shared" si="69"/>
        <v>1050.4059999999999</v>
      </c>
      <c r="G193" s="22">
        <v>0</v>
      </c>
      <c r="H193" s="22">
        <f t="shared" si="70"/>
        <v>0</v>
      </c>
      <c r="I193" s="22">
        <f t="shared" si="71"/>
        <v>1050.4059999999999</v>
      </c>
      <c r="J193" s="50">
        <v>0</v>
      </c>
      <c r="K193" s="51">
        <v>0</v>
      </c>
      <c r="L193" s="53">
        <v>0</v>
      </c>
      <c r="M193" s="53">
        <v>1050.4059999999999</v>
      </c>
      <c r="N193" s="52">
        <v>0</v>
      </c>
      <c r="O193" s="52">
        <v>0</v>
      </c>
      <c r="P193" s="53">
        <v>0</v>
      </c>
      <c r="Q193" s="50">
        <v>0</v>
      </c>
    </row>
    <row r="194" spans="1:17" s="16" customFormat="1" ht="11.45" customHeight="1">
      <c r="A194" s="17"/>
      <c r="B194" s="18" t="s">
        <v>41</v>
      </c>
      <c r="C194" s="22"/>
      <c r="D194" s="22"/>
      <c r="E194" s="22"/>
      <c r="F194" s="49">
        <f t="shared" si="69"/>
        <v>2349.5940000000001</v>
      </c>
      <c r="G194" s="22">
        <v>0</v>
      </c>
      <c r="H194" s="22">
        <f t="shared" si="70"/>
        <v>0</v>
      </c>
      <c r="I194" s="22">
        <f t="shared" si="71"/>
        <v>2349.5940000000001</v>
      </c>
      <c r="J194" s="50">
        <v>0</v>
      </c>
      <c r="K194" s="50">
        <v>0</v>
      </c>
      <c r="L194" s="53">
        <v>0</v>
      </c>
      <c r="M194" s="53">
        <v>2349.5940000000001</v>
      </c>
      <c r="N194" s="52">
        <v>0</v>
      </c>
      <c r="O194" s="52">
        <v>0</v>
      </c>
      <c r="P194" s="53">
        <v>0</v>
      </c>
      <c r="Q194" s="50">
        <v>0</v>
      </c>
    </row>
    <row r="195" spans="1:17" s="16" customFormat="1" ht="25.15" customHeight="1">
      <c r="A195" s="25">
        <v>64</v>
      </c>
      <c r="B195" s="44" t="s">
        <v>180</v>
      </c>
      <c r="C195" s="27" t="s">
        <v>181</v>
      </c>
      <c r="D195" s="56" t="s">
        <v>176</v>
      </c>
      <c r="E195" s="29">
        <f>F195</f>
        <v>1110.6899999999998</v>
      </c>
      <c r="F195" s="30">
        <f t="shared" si="69"/>
        <v>1110.6899999999998</v>
      </c>
      <c r="G195" s="31">
        <f>G196+G197</f>
        <v>0</v>
      </c>
      <c r="H195" s="31">
        <f t="shared" si="70"/>
        <v>0</v>
      </c>
      <c r="I195" s="31">
        <f t="shared" si="71"/>
        <v>1110.6899999999998</v>
      </c>
      <c r="J195" s="30">
        <f t="shared" ref="J195:Q195" si="82">SUM(J196:J197)</f>
        <v>0</v>
      </c>
      <c r="K195" s="30">
        <f t="shared" si="82"/>
        <v>0</v>
      </c>
      <c r="L195" s="30">
        <f t="shared" si="82"/>
        <v>24.6</v>
      </c>
      <c r="M195" s="30">
        <f t="shared" si="82"/>
        <v>1086.0899999999999</v>
      </c>
      <c r="N195" s="30">
        <f t="shared" si="82"/>
        <v>0</v>
      </c>
      <c r="O195" s="30">
        <f t="shared" si="82"/>
        <v>0</v>
      </c>
      <c r="P195" s="30">
        <f t="shared" si="82"/>
        <v>0</v>
      </c>
      <c r="Q195" s="30">
        <f t="shared" si="82"/>
        <v>0</v>
      </c>
    </row>
    <row r="196" spans="1:17" s="16" customFormat="1" ht="11.45" customHeight="1">
      <c r="A196" s="17"/>
      <c r="B196" s="18" t="s">
        <v>29</v>
      </c>
      <c r="C196" s="22"/>
      <c r="D196" s="22"/>
      <c r="E196" s="22"/>
      <c r="F196" s="49">
        <f t="shared" si="69"/>
        <v>343.14000000000004</v>
      </c>
      <c r="G196" s="22">
        <v>0</v>
      </c>
      <c r="H196" s="22">
        <f t="shared" si="70"/>
        <v>0</v>
      </c>
      <c r="I196" s="22">
        <f t="shared" si="71"/>
        <v>343.14000000000004</v>
      </c>
      <c r="J196" s="50">
        <v>0</v>
      </c>
      <c r="K196" s="51">
        <v>0</v>
      </c>
      <c r="L196" s="53">
        <v>7.6</v>
      </c>
      <c r="M196" s="53">
        <v>335.54</v>
      </c>
      <c r="N196" s="52">
        <v>0</v>
      </c>
      <c r="O196" s="52">
        <v>0</v>
      </c>
      <c r="P196" s="53">
        <v>0</v>
      </c>
      <c r="Q196" s="50">
        <v>0</v>
      </c>
    </row>
    <row r="197" spans="1:17" s="16" customFormat="1" ht="11.45" customHeight="1">
      <c r="A197" s="17"/>
      <c r="B197" s="18" t="s">
        <v>41</v>
      </c>
      <c r="C197" s="22"/>
      <c r="D197" s="22"/>
      <c r="E197" s="22"/>
      <c r="F197" s="49">
        <f t="shared" si="69"/>
        <v>767.55</v>
      </c>
      <c r="G197" s="22">
        <v>0</v>
      </c>
      <c r="H197" s="22">
        <f t="shared" si="70"/>
        <v>0</v>
      </c>
      <c r="I197" s="22">
        <f t="shared" si="71"/>
        <v>767.55</v>
      </c>
      <c r="J197" s="50">
        <v>0</v>
      </c>
      <c r="K197" s="50">
        <v>0</v>
      </c>
      <c r="L197" s="53">
        <v>17</v>
      </c>
      <c r="M197" s="53">
        <v>750.55</v>
      </c>
      <c r="N197" s="52">
        <v>0</v>
      </c>
      <c r="O197" s="52">
        <v>0</v>
      </c>
      <c r="P197" s="53">
        <v>0</v>
      </c>
      <c r="Q197" s="50">
        <v>0</v>
      </c>
    </row>
    <row r="198" spans="1:17" s="16" customFormat="1" ht="25.15" customHeight="1">
      <c r="A198" s="25">
        <v>65</v>
      </c>
      <c r="B198" s="44" t="s">
        <v>310</v>
      </c>
      <c r="C198" s="27" t="s">
        <v>93</v>
      </c>
      <c r="D198" s="56">
        <v>2017</v>
      </c>
      <c r="E198" s="29">
        <f>F198</f>
        <v>1000</v>
      </c>
      <c r="F198" s="30">
        <f t="shared" si="69"/>
        <v>1000</v>
      </c>
      <c r="G198" s="31">
        <f>G199+G200</f>
        <v>0</v>
      </c>
      <c r="H198" s="31">
        <f t="shared" si="70"/>
        <v>0</v>
      </c>
      <c r="I198" s="31">
        <f t="shared" si="71"/>
        <v>1000</v>
      </c>
      <c r="J198" s="30">
        <f t="shared" ref="J198:Q198" si="83">SUM(J199:J200)</f>
        <v>0</v>
      </c>
      <c r="K198" s="30">
        <f t="shared" si="83"/>
        <v>0</v>
      </c>
      <c r="L198" s="30">
        <f t="shared" si="83"/>
        <v>0</v>
      </c>
      <c r="M198" s="30">
        <f t="shared" si="83"/>
        <v>1000</v>
      </c>
      <c r="N198" s="30">
        <f t="shared" si="83"/>
        <v>0</v>
      </c>
      <c r="O198" s="30">
        <f t="shared" si="83"/>
        <v>0</v>
      </c>
      <c r="P198" s="30">
        <f t="shared" si="83"/>
        <v>0</v>
      </c>
      <c r="Q198" s="30">
        <f t="shared" si="83"/>
        <v>0</v>
      </c>
    </row>
    <row r="199" spans="1:17" s="16" customFormat="1" ht="11.45" customHeight="1">
      <c r="A199" s="17"/>
      <c r="B199" s="18" t="s">
        <v>29</v>
      </c>
      <c r="C199" s="22"/>
      <c r="D199" s="22"/>
      <c r="E199" s="22"/>
      <c r="F199" s="49">
        <f t="shared" si="69"/>
        <v>308.94299999999998</v>
      </c>
      <c r="G199" s="22">
        <v>0</v>
      </c>
      <c r="H199" s="22">
        <f t="shared" si="70"/>
        <v>0</v>
      </c>
      <c r="I199" s="22">
        <f t="shared" si="71"/>
        <v>308.94299999999998</v>
      </c>
      <c r="J199" s="50">
        <v>0</v>
      </c>
      <c r="K199" s="51">
        <v>0</v>
      </c>
      <c r="L199" s="53">
        <v>0</v>
      </c>
      <c r="M199" s="53">
        <v>308.94299999999998</v>
      </c>
      <c r="N199" s="52">
        <v>0</v>
      </c>
      <c r="O199" s="52">
        <v>0</v>
      </c>
      <c r="P199" s="53">
        <v>0</v>
      </c>
      <c r="Q199" s="50">
        <v>0</v>
      </c>
    </row>
    <row r="200" spans="1:17" s="16" customFormat="1" ht="11.45" customHeight="1">
      <c r="A200" s="17"/>
      <c r="B200" s="18" t="s">
        <v>41</v>
      </c>
      <c r="C200" s="22"/>
      <c r="D200" s="22"/>
      <c r="E200" s="22"/>
      <c r="F200" s="49">
        <f t="shared" si="69"/>
        <v>691.05700000000002</v>
      </c>
      <c r="G200" s="22">
        <v>0</v>
      </c>
      <c r="H200" s="22">
        <f t="shared" si="70"/>
        <v>0</v>
      </c>
      <c r="I200" s="22">
        <f t="shared" si="71"/>
        <v>691.05700000000002</v>
      </c>
      <c r="J200" s="50">
        <v>0</v>
      </c>
      <c r="K200" s="50">
        <v>0</v>
      </c>
      <c r="L200" s="53">
        <v>0</v>
      </c>
      <c r="M200" s="53">
        <v>691.05700000000002</v>
      </c>
      <c r="N200" s="52">
        <v>0</v>
      </c>
      <c r="O200" s="52">
        <v>0</v>
      </c>
      <c r="P200" s="53">
        <v>0</v>
      </c>
      <c r="Q200" s="50">
        <v>0</v>
      </c>
    </row>
    <row r="201" spans="1:17" s="16" customFormat="1" ht="22.9" customHeight="1">
      <c r="A201" s="59">
        <v>66</v>
      </c>
      <c r="B201" s="41" t="s">
        <v>182</v>
      </c>
      <c r="C201" s="27" t="s">
        <v>174</v>
      </c>
      <c r="D201" s="56">
        <v>2017</v>
      </c>
      <c r="E201" s="29">
        <f>F201</f>
        <v>1400</v>
      </c>
      <c r="F201" s="30">
        <f t="shared" si="69"/>
        <v>1400</v>
      </c>
      <c r="G201" s="43">
        <f>G202</f>
        <v>0</v>
      </c>
      <c r="H201" s="31">
        <f t="shared" si="70"/>
        <v>0</v>
      </c>
      <c r="I201" s="30">
        <f t="shared" si="71"/>
        <v>1400</v>
      </c>
      <c r="J201" s="30">
        <f t="shared" ref="J201:Q201" si="84">SUM(J202:J202)</f>
        <v>0</v>
      </c>
      <c r="K201" s="30">
        <f t="shared" si="84"/>
        <v>0</v>
      </c>
      <c r="L201" s="30">
        <f t="shared" si="84"/>
        <v>0</v>
      </c>
      <c r="M201" s="30">
        <f t="shared" si="84"/>
        <v>1400</v>
      </c>
      <c r="N201" s="30">
        <f t="shared" si="84"/>
        <v>0</v>
      </c>
      <c r="O201" s="30">
        <f t="shared" si="84"/>
        <v>0</v>
      </c>
      <c r="P201" s="30">
        <f t="shared" si="84"/>
        <v>0</v>
      </c>
      <c r="Q201" s="30">
        <f t="shared" si="84"/>
        <v>0</v>
      </c>
    </row>
    <row r="202" spans="1:17" s="16" customFormat="1" ht="10.9" customHeight="1">
      <c r="A202" s="40"/>
      <c r="B202" s="18" t="s">
        <v>29</v>
      </c>
      <c r="C202" s="19"/>
      <c r="D202" s="20"/>
      <c r="E202" s="21"/>
      <c r="F202" s="22">
        <f t="shared" si="69"/>
        <v>1400</v>
      </c>
      <c r="G202" s="23">
        <v>0</v>
      </c>
      <c r="H202" s="22">
        <f t="shared" si="70"/>
        <v>0</v>
      </c>
      <c r="I202" s="22">
        <f t="shared" si="71"/>
        <v>1400</v>
      </c>
      <c r="J202" s="22">
        <v>0</v>
      </c>
      <c r="K202" s="22">
        <v>0</v>
      </c>
      <c r="L202" s="22">
        <v>0</v>
      </c>
      <c r="M202" s="22">
        <v>1400</v>
      </c>
      <c r="N202" s="22">
        <v>0</v>
      </c>
      <c r="O202" s="22">
        <v>0</v>
      </c>
      <c r="P202" s="22">
        <v>0</v>
      </c>
      <c r="Q202" s="22">
        <v>0</v>
      </c>
    </row>
    <row r="203" spans="1:17" s="7" customFormat="1" ht="21" customHeight="1">
      <c r="A203" s="111" t="s">
        <v>183</v>
      </c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3"/>
    </row>
    <row r="204" spans="1:17" s="16" customFormat="1" ht="22.9" customHeight="1">
      <c r="A204" s="25">
        <v>67</v>
      </c>
      <c r="B204" s="26" t="s">
        <v>184</v>
      </c>
      <c r="C204" s="27" t="s">
        <v>185</v>
      </c>
      <c r="D204" s="46" t="s">
        <v>140</v>
      </c>
      <c r="E204" s="29">
        <f>F204</f>
        <v>1873.6089999999999</v>
      </c>
      <c r="F204" s="30">
        <f>G204+I204+J204+Q204</f>
        <v>1873.6089999999999</v>
      </c>
      <c r="G204" s="31">
        <f>G205</f>
        <v>81.244</v>
      </c>
      <c r="H204" s="31">
        <f>G204+J204</f>
        <v>81.244</v>
      </c>
      <c r="I204" s="30">
        <f>SUM(K204:O204)</f>
        <v>1792.365</v>
      </c>
      <c r="J204" s="30">
        <f t="shared" ref="J204:P204" si="85">SUM(J205)</f>
        <v>0</v>
      </c>
      <c r="K204" s="30">
        <f t="shared" si="85"/>
        <v>1792.365</v>
      </c>
      <c r="L204" s="30">
        <f t="shared" si="85"/>
        <v>0</v>
      </c>
      <c r="M204" s="30">
        <f t="shared" si="85"/>
        <v>0</v>
      </c>
      <c r="N204" s="30">
        <f t="shared" si="85"/>
        <v>0</v>
      </c>
      <c r="O204" s="30">
        <f t="shared" si="85"/>
        <v>0</v>
      </c>
      <c r="P204" s="30">
        <f t="shared" si="85"/>
        <v>0</v>
      </c>
      <c r="Q204" s="30">
        <f>SUM(N204:N204)</f>
        <v>0</v>
      </c>
    </row>
    <row r="205" spans="1:17" s="16" customFormat="1" ht="10.9" customHeight="1">
      <c r="A205" s="40"/>
      <c r="B205" s="18" t="s">
        <v>29</v>
      </c>
      <c r="C205" s="19"/>
      <c r="D205" s="20"/>
      <c r="E205" s="21"/>
      <c r="F205" s="22">
        <f>G205+I205+J205+Q205</f>
        <v>1873.6089999999999</v>
      </c>
      <c r="G205" s="23">
        <v>81.244</v>
      </c>
      <c r="H205" s="22">
        <f>G205+J205</f>
        <v>81.244</v>
      </c>
      <c r="I205" s="22">
        <f>SUM(K205:O205)</f>
        <v>1792.365</v>
      </c>
      <c r="J205" s="22">
        <v>0</v>
      </c>
      <c r="K205" s="22">
        <v>1792.365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f>SUM(N205:N205)</f>
        <v>0</v>
      </c>
    </row>
    <row r="206" spans="1:17" s="16" customFormat="1" ht="22.9" customHeight="1">
      <c r="A206" s="25">
        <v>68</v>
      </c>
      <c r="B206" s="26" t="s">
        <v>186</v>
      </c>
      <c r="C206" s="27" t="s">
        <v>187</v>
      </c>
      <c r="D206" s="28" t="s">
        <v>136</v>
      </c>
      <c r="E206" s="29">
        <f>F206</f>
        <v>6000</v>
      </c>
      <c r="F206" s="30">
        <f>G206+I206+J206+Q206</f>
        <v>6000</v>
      </c>
      <c r="G206" s="31">
        <f>G207</f>
        <v>70</v>
      </c>
      <c r="H206" s="31">
        <f>G206+J206</f>
        <v>1000</v>
      </c>
      <c r="I206" s="30">
        <f>SUM(K206:O206)</f>
        <v>5000</v>
      </c>
      <c r="J206" s="30">
        <f t="shared" ref="J206:P206" si="86">SUM(J207:J207)</f>
        <v>930</v>
      </c>
      <c r="K206" s="30">
        <f t="shared" si="86"/>
        <v>1000</v>
      </c>
      <c r="L206" s="30">
        <f t="shared" si="86"/>
        <v>1000</v>
      </c>
      <c r="M206" s="30">
        <f t="shared" si="86"/>
        <v>1000</v>
      </c>
      <c r="N206" s="30">
        <f t="shared" si="86"/>
        <v>1000</v>
      </c>
      <c r="O206" s="30">
        <f t="shared" si="86"/>
        <v>1000</v>
      </c>
      <c r="P206" s="30">
        <f t="shared" si="86"/>
        <v>0</v>
      </c>
      <c r="Q206" s="30">
        <f>Q207</f>
        <v>0</v>
      </c>
    </row>
    <row r="207" spans="1:17" s="16" customFormat="1" ht="10.9" customHeight="1">
      <c r="A207" s="40"/>
      <c r="B207" s="18" t="s">
        <v>29</v>
      </c>
      <c r="C207" s="19"/>
      <c r="D207" s="20"/>
      <c r="E207" s="21"/>
      <c r="F207" s="22">
        <f>G207+I207+J207+Q207</f>
        <v>6000</v>
      </c>
      <c r="G207" s="23">
        <v>70</v>
      </c>
      <c r="H207" s="22">
        <f>G207+J207</f>
        <v>1000</v>
      </c>
      <c r="I207" s="22">
        <f>SUM(K207:O207)</f>
        <v>5000</v>
      </c>
      <c r="J207" s="22">
        <v>930</v>
      </c>
      <c r="K207" s="22">
        <v>1000</v>
      </c>
      <c r="L207" s="22">
        <v>1000</v>
      </c>
      <c r="M207" s="22">
        <v>1000</v>
      </c>
      <c r="N207" s="22">
        <v>1000</v>
      </c>
      <c r="O207" s="22">
        <v>1000</v>
      </c>
      <c r="P207" s="22">
        <v>0</v>
      </c>
      <c r="Q207" s="22">
        <v>0</v>
      </c>
    </row>
    <row r="208" spans="1:17" s="7" customFormat="1" ht="17.25" customHeight="1">
      <c r="A208" s="93" t="s">
        <v>188</v>
      </c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5"/>
    </row>
    <row r="209" spans="1:17" s="16" customFormat="1" ht="21.6" customHeight="1">
      <c r="A209" s="25">
        <v>69</v>
      </c>
      <c r="B209" s="38" t="s">
        <v>189</v>
      </c>
      <c r="C209" s="27" t="s">
        <v>190</v>
      </c>
      <c r="D209" s="28" t="s">
        <v>191</v>
      </c>
      <c r="E209" s="29">
        <f>F209</f>
        <v>433387.38699999999</v>
      </c>
      <c r="F209" s="30">
        <f t="shared" ref="F209:F230" si="87">G209+I209+J209+Q209</f>
        <v>433387.38699999999</v>
      </c>
      <c r="G209" s="31">
        <f>G210</f>
        <v>86833.94</v>
      </c>
      <c r="H209" s="31">
        <f t="shared" ref="H209:H230" si="88">G209+J209</f>
        <v>112422.387</v>
      </c>
      <c r="I209" s="30">
        <f t="shared" ref="I209:I230" si="89">SUM(K209:O209)</f>
        <v>176629</v>
      </c>
      <c r="J209" s="30">
        <f t="shared" ref="J209:Q209" si="90">SUM(J210)</f>
        <v>25588.447</v>
      </c>
      <c r="K209" s="30">
        <f t="shared" si="90"/>
        <v>47445</v>
      </c>
      <c r="L209" s="30">
        <f t="shared" si="90"/>
        <v>28487</v>
      </c>
      <c r="M209" s="30">
        <f t="shared" si="90"/>
        <v>42749</v>
      </c>
      <c r="N209" s="30">
        <f t="shared" si="90"/>
        <v>24909</v>
      </c>
      <c r="O209" s="30">
        <f t="shared" si="90"/>
        <v>33039</v>
      </c>
      <c r="P209" s="30">
        <f t="shared" si="90"/>
        <v>32069</v>
      </c>
      <c r="Q209" s="30">
        <f t="shared" si="90"/>
        <v>144336</v>
      </c>
    </row>
    <row r="210" spans="1:17" s="16" customFormat="1" ht="10.9" customHeight="1">
      <c r="A210" s="40"/>
      <c r="B210" s="18" t="s">
        <v>29</v>
      </c>
      <c r="C210" s="19"/>
      <c r="D210" s="20"/>
      <c r="E210" s="21"/>
      <c r="F210" s="22">
        <f t="shared" si="87"/>
        <v>433387.38699999999</v>
      </c>
      <c r="G210" s="23">
        <v>86833.94</v>
      </c>
      <c r="H210" s="22">
        <f t="shared" si="88"/>
        <v>112422.387</v>
      </c>
      <c r="I210" s="22">
        <f t="shared" si="89"/>
        <v>176629</v>
      </c>
      <c r="J210" s="22">
        <v>25588.447</v>
      </c>
      <c r="K210" s="22">
        <v>47445</v>
      </c>
      <c r="L210" s="22">
        <v>28487</v>
      </c>
      <c r="M210" s="22">
        <v>42749</v>
      </c>
      <c r="N210" s="22">
        <v>24909</v>
      </c>
      <c r="O210" s="22">
        <v>33039</v>
      </c>
      <c r="P210" s="22">
        <v>32069</v>
      </c>
      <c r="Q210" s="22">
        <v>144336</v>
      </c>
    </row>
    <row r="211" spans="1:17" s="16" customFormat="1" ht="26.25" customHeight="1">
      <c r="A211" s="25">
        <v>70</v>
      </c>
      <c r="B211" s="38" t="s">
        <v>192</v>
      </c>
      <c r="C211" s="27" t="s">
        <v>190</v>
      </c>
      <c r="D211" s="28" t="s">
        <v>40</v>
      </c>
      <c r="E211" s="29">
        <f>F211</f>
        <v>145033.06699999998</v>
      </c>
      <c r="F211" s="30">
        <f t="shared" si="87"/>
        <v>145033.06699999998</v>
      </c>
      <c r="G211" s="31">
        <f>G212</f>
        <v>70747.873999999996</v>
      </c>
      <c r="H211" s="31">
        <f t="shared" si="88"/>
        <v>80910.373999999996</v>
      </c>
      <c r="I211" s="30">
        <f t="shared" si="89"/>
        <v>59122.692999999999</v>
      </c>
      <c r="J211" s="30">
        <f t="shared" ref="J211" si="91">SUM(J212:J212)</f>
        <v>10162.5</v>
      </c>
      <c r="K211" s="30">
        <f>SUM(K212:K213)</f>
        <v>13352.692999999999</v>
      </c>
      <c r="L211" s="30">
        <f t="shared" ref="L211:Q211" si="92">SUM(L212:L213)</f>
        <v>18620</v>
      </c>
      <c r="M211" s="30">
        <f t="shared" si="92"/>
        <v>16500</v>
      </c>
      <c r="N211" s="30">
        <f t="shared" si="92"/>
        <v>9300</v>
      </c>
      <c r="O211" s="30">
        <f t="shared" si="92"/>
        <v>1350</v>
      </c>
      <c r="P211" s="30">
        <f t="shared" si="92"/>
        <v>5000</v>
      </c>
      <c r="Q211" s="30">
        <f t="shared" si="92"/>
        <v>5000</v>
      </c>
    </row>
    <row r="212" spans="1:17" s="16" customFormat="1" ht="10.9" customHeight="1">
      <c r="A212" s="40"/>
      <c r="B212" s="18" t="s">
        <v>29</v>
      </c>
      <c r="C212" s="19"/>
      <c r="D212" s="20"/>
      <c r="E212" s="21"/>
      <c r="F212" s="22">
        <f t="shared" si="87"/>
        <v>135114.11799999999</v>
      </c>
      <c r="G212" s="23">
        <f>71247.874-500</f>
        <v>70747.873999999996</v>
      </c>
      <c r="H212" s="22">
        <f t="shared" si="88"/>
        <v>80910.373999999996</v>
      </c>
      <c r="I212" s="22">
        <f t="shared" si="89"/>
        <v>49203.743999999999</v>
      </c>
      <c r="J212" s="22">
        <v>10162.5</v>
      </c>
      <c r="K212" s="58">
        <v>13352.692999999999</v>
      </c>
      <c r="L212" s="22">
        <f>9536.061+1750</f>
        <v>11286.061</v>
      </c>
      <c r="M212" s="22">
        <v>13914.99</v>
      </c>
      <c r="N212" s="22">
        <v>9300</v>
      </c>
      <c r="O212" s="22">
        <v>1350</v>
      </c>
      <c r="P212" s="22">
        <v>5000</v>
      </c>
      <c r="Q212" s="22">
        <v>5000</v>
      </c>
    </row>
    <row r="213" spans="1:17" s="16" customFormat="1" ht="11.45" customHeight="1">
      <c r="A213" s="17"/>
      <c r="B213" s="92" t="s">
        <v>41</v>
      </c>
      <c r="C213" s="22"/>
      <c r="D213" s="22"/>
      <c r="E213" s="22"/>
      <c r="F213" s="49">
        <f t="shared" si="87"/>
        <v>9918.9490000000005</v>
      </c>
      <c r="G213" s="22">
        <v>0</v>
      </c>
      <c r="H213" s="22">
        <f t="shared" si="88"/>
        <v>0</v>
      </c>
      <c r="I213" s="22">
        <f t="shared" si="89"/>
        <v>9918.9490000000005</v>
      </c>
      <c r="J213" s="50">
        <v>0</v>
      </c>
      <c r="K213" s="50">
        <v>0</v>
      </c>
      <c r="L213" s="53">
        <v>7333.9390000000003</v>
      </c>
      <c r="M213" s="53">
        <v>2585.0100000000002</v>
      </c>
      <c r="N213" s="52">
        <v>0</v>
      </c>
      <c r="O213" s="52">
        <v>0</v>
      </c>
      <c r="P213" s="53">
        <v>0</v>
      </c>
      <c r="Q213" s="50">
        <v>0</v>
      </c>
    </row>
    <row r="214" spans="1:17" s="16" customFormat="1" ht="21.6" customHeight="1">
      <c r="A214" s="25">
        <v>71</v>
      </c>
      <c r="B214" s="38" t="s">
        <v>193</v>
      </c>
      <c r="C214" s="27" t="s">
        <v>167</v>
      </c>
      <c r="D214" s="28" t="s">
        <v>194</v>
      </c>
      <c r="E214" s="29">
        <f>F214</f>
        <v>81964.100000000006</v>
      </c>
      <c r="F214" s="30">
        <f t="shared" si="87"/>
        <v>81964.100000000006</v>
      </c>
      <c r="G214" s="31">
        <f>G215+G216</f>
        <v>12822.7</v>
      </c>
      <c r="H214" s="31">
        <f t="shared" si="88"/>
        <v>14408.5</v>
      </c>
      <c r="I214" s="30">
        <f t="shared" si="89"/>
        <v>18555.599999999999</v>
      </c>
      <c r="J214" s="30">
        <f t="shared" ref="J214:Q214" si="93">SUM(J215:J216)</f>
        <v>1585.8</v>
      </c>
      <c r="K214" s="30">
        <f t="shared" si="93"/>
        <v>1970.6</v>
      </c>
      <c r="L214" s="30">
        <f t="shared" si="93"/>
        <v>3385</v>
      </c>
      <c r="M214" s="30">
        <f t="shared" si="93"/>
        <v>5500</v>
      </c>
      <c r="N214" s="30">
        <f t="shared" si="93"/>
        <v>2000</v>
      </c>
      <c r="O214" s="30">
        <f t="shared" si="93"/>
        <v>5700</v>
      </c>
      <c r="P214" s="30">
        <f t="shared" si="93"/>
        <v>24000</v>
      </c>
      <c r="Q214" s="30">
        <f t="shared" si="93"/>
        <v>49000</v>
      </c>
    </row>
    <row r="215" spans="1:17" s="16" customFormat="1" ht="10.9" customHeight="1">
      <c r="A215" s="40"/>
      <c r="B215" s="18" t="s">
        <v>29</v>
      </c>
      <c r="C215" s="19"/>
      <c r="D215" s="20"/>
      <c r="E215" s="21"/>
      <c r="F215" s="22">
        <f t="shared" si="87"/>
        <v>80924.100000000006</v>
      </c>
      <c r="G215" s="23">
        <v>11782.7</v>
      </c>
      <c r="H215" s="22">
        <f t="shared" si="88"/>
        <v>13368.5</v>
      </c>
      <c r="I215" s="22">
        <f t="shared" si="89"/>
        <v>18555.599999999999</v>
      </c>
      <c r="J215" s="22">
        <v>1585.8</v>
      </c>
      <c r="K215" s="22">
        <v>1970.6</v>
      </c>
      <c r="L215" s="22">
        <f>2885+500</f>
        <v>3385</v>
      </c>
      <c r="M215" s="22">
        <f>6000-500</f>
        <v>5500</v>
      </c>
      <c r="N215" s="22">
        <v>2000</v>
      </c>
      <c r="O215" s="22">
        <v>5700</v>
      </c>
      <c r="P215" s="22">
        <v>24000</v>
      </c>
      <c r="Q215" s="22">
        <v>49000</v>
      </c>
    </row>
    <row r="216" spans="1:17" s="16" customFormat="1" ht="10.9" customHeight="1">
      <c r="A216" s="40"/>
      <c r="B216" s="18" t="s">
        <v>85</v>
      </c>
      <c r="C216" s="19"/>
      <c r="D216" s="20"/>
      <c r="E216" s="21"/>
      <c r="F216" s="22">
        <f t="shared" si="87"/>
        <v>1040</v>
      </c>
      <c r="G216" s="23">
        <v>1040</v>
      </c>
      <c r="H216" s="22">
        <f t="shared" si="88"/>
        <v>1040</v>
      </c>
      <c r="I216" s="22">
        <f t="shared" si="89"/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</row>
    <row r="217" spans="1:17" s="16" customFormat="1" ht="24" customHeight="1">
      <c r="A217" s="25">
        <v>72</v>
      </c>
      <c r="B217" s="38" t="s">
        <v>195</v>
      </c>
      <c r="C217" s="27" t="s">
        <v>190</v>
      </c>
      <c r="D217" s="28" t="s">
        <v>194</v>
      </c>
      <c r="E217" s="29">
        <f>F217</f>
        <v>117355.80499999999</v>
      </c>
      <c r="F217" s="30">
        <f>G217+I217+J217+Q217</f>
        <v>117355.80499999999</v>
      </c>
      <c r="G217" s="31">
        <f>G218+G219</f>
        <v>50155.805</v>
      </c>
      <c r="H217" s="31">
        <f t="shared" si="88"/>
        <v>52785.805</v>
      </c>
      <c r="I217" s="30">
        <f t="shared" si="89"/>
        <v>21070</v>
      </c>
      <c r="J217" s="30">
        <f t="shared" ref="J217:Q217" si="94">SUM(J218:J219)</f>
        <v>2630</v>
      </c>
      <c r="K217" s="30">
        <f t="shared" si="94"/>
        <v>4730</v>
      </c>
      <c r="L217" s="30">
        <f t="shared" si="94"/>
        <v>3740</v>
      </c>
      <c r="M217" s="30">
        <f t="shared" si="94"/>
        <v>1100</v>
      </c>
      <c r="N217" s="30">
        <f t="shared" si="94"/>
        <v>3500</v>
      </c>
      <c r="O217" s="30">
        <f t="shared" si="94"/>
        <v>8000</v>
      </c>
      <c r="P217" s="30">
        <f t="shared" si="94"/>
        <v>8000</v>
      </c>
      <c r="Q217" s="30">
        <f t="shared" si="94"/>
        <v>43500</v>
      </c>
    </row>
    <row r="218" spans="1:17" s="16" customFormat="1" ht="10.9" customHeight="1">
      <c r="A218" s="40"/>
      <c r="B218" s="18" t="s">
        <v>29</v>
      </c>
      <c r="C218" s="19"/>
      <c r="D218" s="20"/>
      <c r="E218" s="21"/>
      <c r="F218" s="22">
        <f t="shared" si="87"/>
        <v>117355.80499999999</v>
      </c>
      <c r="G218" s="23">
        <v>50155.805</v>
      </c>
      <c r="H218" s="22">
        <f t="shared" si="88"/>
        <v>52785.805</v>
      </c>
      <c r="I218" s="22">
        <f t="shared" si="89"/>
        <v>21070</v>
      </c>
      <c r="J218" s="22">
        <v>2630</v>
      </c>
      <c r="K218" s="22">
        <v>4730</v>
      </c>
      <c r="L218" s="22">
        <v>3740</v>
      </c>
      <c r="M218" s="22">
        <v>1100</v>
      </c>
      <c r="N218" s="22">
        <v>3500</v>
      </c>
      <c r="O218" s="22">
        <v>8000</v>
      </c>
      <c r="P218" s="22">
        <v>8000</v>
      </c>
      <c r="Q218" s="22">
        <v>43500</v>
      </c>
    </row>
    <row r="219" spans="1:17" s="16" customFormat="1" ht="10.9" customHeight="1">
      <c r="A219" s="40"/>
      <c r="B219" s="18" t="s">
        <v>41</v>
      </c>
      <c r="C219" s="19"/>
      <c r="D219" s="20"/>
      <c r="E219" s="21"/>
      <c r="F219" s="22">
        <f t="shared" si="87"/>
        <v>0</v>
      </c>
      <c r="G219" s="23">
        <v>0</v>
      </c>
      <c r="H219" s="22">
        <f t="shared" si="88"/>
        <v>0</v>
      </c>
      <c r="I219" s="22">
        <f t="shared" si="89"/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</row>
    <row r="220" spans="1:17" s="7" customFormat="1" ht="23.45" customHeight="1">
      <c r="A220" s="25">
        <v>73</v>
      </c>
      <c r="B220" s="38" t="s">
        <v>196</v>
      </c>
      <c r="C220" s="27" t="s">
        <v>197</v>
      </c>
      <c r="D220" s="28" t="s">
        <v>194</v>
      </c>
      <c r="E220" s="29">
        <f>F220</f>
        <v>150772.677</v>
      </c>
      <c r="F220" s="30">
        <f t="shared" si="87"/>
        <v>150772.677</v>
      </c>
      <c r="G220" s="31">
        <f>G221</f>
        <v>68929.676999999996</v>
      </c>
      <c r="H220" s="31">
        <f t="shared" si="88"/>
        <v>69052.676999999996</v>
      </c>
      <c r="I220" s="30">
        <f t="shared" si="89"/>
        <v>62920</v>
      </c>
      <c r="J220" s="30">
        <f>SUM(J221:J221)</f>
        <v>123</v>
      </c>
      <c r="K220" s="30">
        <f t="shared" ref="K220:Q220" si="95">SUM(K221:K221)</f>
        <v>7720</v>
      </c>
      <c r="L220" s="30">
        <f t="shared" si="95"/>
        <v>2400</v>
      </c>
      <c r="M220" s="30">
        <f t="shared" si="95"/>
        <v>16650</v>
      </c>
      <c r="N220" s="30">
        <f t="shared" si="95"/>
        <v>15050</v>
      </c>
      <c r="O220" s="30">
        <f t="shared" si="95"/>
        <v>21100</v>
      </c>
      <c r="P220" s="30">
        <f t="shared" si="95"/>
        <v>5700</v>
      </c>
      <c r="Q220" s="30">
        <f t="shared" si="95"/>
        <v>18800</v>
      </c>
    </row>
    <row r="221" spans="1:17" s="7" customFormat="1" ht="10.9" customHeight="1">
      <c r="A221" s="40"/>
      <c r="B221" s="18" t="s">
        <v>29</v>
      </c>
      <c r="C221" s="19"/>
      <c r="D221" s="20"/>
      <c r="E221" s="21"/>
      <c r="F221" s="22">
        <f t="shared" si="87"/>
        <v>150772.677</v>
      </c>
      <c r="G221" s="22">
        <v>68929.676999999996</v>
      </c>
      <c r="H221" s="22">
        <f t="shared" si="88"/>
        <v>69052.676999999996</v>
      </c>
      <c r="I221" s="22">
        <f t="shared" si="89"/>
        <v>62920</v>
      </c>
      <c r="J221" s="22">
        <v>123</v>
      </c>
      <c r="K221" s="22">
        <v>7720</v>
      </c>
      <c r="L221" s="22">
        <f>1600+800</f>
        <v>2400</v>
      </c>
      <c r="M221" s="22">
        <f>11650+5000</f>
        <v>16650</v>
      </c>
      <c r="N221" s="22">
        <f>9050+6000</f>
        <v>15050</v>
      </c>
      <c r="O221" s="22">
        <f>32100-11000</f>
        <v>21100</v>
      </c>
      <c r="P221" s="22">
        <v>5700</v>
      </c>
      <c r="Q221" s="22">
        <v>18800</v>
      </c>
    </row>
    <row r="222" spans="1:17" s="16" customFormat="1" ht="22.15" customHeight="1">
      <c r="A222" s="25">
        <v>74</v>
      </c>
      <c r="B222" s="41" t="s">
        <v>198</v>
      </c>
      <c r="C222" s="27" t="s">
        <v>199</v>
      </c>
      <c r="D222" s="28" t="s">
        <v>311</v>
      </c>
      <c r="E222" s="29">
        <f>F222</f>
        <v>9553</v>
      </c>
      <c r="F222" s="30">
        <f t="shared" si="87"/>
        <v>9553</v>
      </c>
      <c r="G222" s="31">
        <f>G223</f>
        <v>9153</v>
      </c>
      <c r="H222" s="31">
        <f t="shared" si="88"/>
        <v>9153</v>
      </c>
      <c r="I222" s="30">
        <f t="shared" si="89"/>
        <v>400</v>
      </c>
      <c r="J222" s="30">
        <f t="shared" ref="J222:Q222" si="96">SUM(J223)</f>
        <v>0</v>
      </c>
      <c r="K222" s="30">
        <f t="shared" si="96"/>
        <v>400</v>
      </c>
      <c r="L222" s="30">
        <f t="shared" si="96"/>
        <v>0</v>
      </c>
      <c r="M222" s="30">
        <f t="shared" si="96"/>
        <v>0</v>
      </c>
      <c r="N222" s="30">
        <f t="shared" si="96"/>
        <v>0</v>
      </c>
      <c r="O222" s="30">
        <f t="shared" si="96"/>
        <v>0</v>
      </c>
      <c r="P222" s="30">
        <f t="shared" si="96"/>
        <v>0</v>
      </c>
      <c r="Q222" s="30">
        <f t="shared" si="96"/>
        <v>0</v>
      </c>
    </row>
    <row r="223" spans="1:17" s="16" customFormat="1" ht="10.9" customHeight="1">
      <c r="A223" s="40"/>
      <c r="B223" s="18" t="s">
        <v>29</v>
      </c>
      <c r="C223" s="19"/>
      <c r="D223" s="20"/>
      <c r="E223" s="21"/>
      <c r="F223" s="22">
        <f t="shared" si="87"/>
        <v>9553</v>
      </c>
      <c r="G223" s="23">
        <v>9153</v>
      </c>
      <c r="H223" s="22">
        <f t="shared" si="88"/>
        <v>9153</v>
      </c>
      <c r="I223" s="22">
        <f t="shared" si="89"/>
        <v>400</v>
      </c>
      <c r="J223" s="22">
        <v>0</v>
      </c>
      <c r="K223" s="22">
        <v>400</v>
      </c>
      <c r="L223" s="24">
        <v>0</v>
      </c>
      <c r="M223" s="24">
        <v>0</v>
      </c>
      <c r="N223" s="24">
        <v>0</v>
      </c>
      <c r="O223" s="24">
        <v>0</v>
      </c>
      <c r="P223" s="22">
        <v>0</v>
      </c>
      <c r="Q223" s="22">
        <v>0</v>
      </c>
    </row>
    <row r="224" spans="1:17" s="16" customFormat="1" ht="33" customHeight="1">
      <c r="A224" s="25">
        <v>75</v>
      </c>
      <c r="B224" s="41" t="s">
        <v>200</v>
      </c>
      <c r="C224" s="27" t="s">
        <v>167</v>
      </c>
      <c r="D224" s="28" t="s">
        <v>84</v>
      </c>
      <c r="E224" s="29">
        <f>F224</f>
        <v>17542</v>
      </c>
      <c r="F224" s="30">
        <f t="shared" si="87"/>
        <v>17542</v>
      </c>
      <c r="G224" s="31">
        <f>G225</f>
        <v>15882</v>
      </c>
      <c r="H224" s="31">
        <f t="shared" si="88"/>
        <v>15882</v>
      </c>
      <c r="I224" s="30">
        <f t="shared" si="89"/>
        <v>1660</v>
      </c>
      <c r="J224" s="30">
        <f t="shared" ref="J224:Q224" si="97">SUM(J225:J225)</f>
        <v>0</v>
      </c>
      <c r="K224" s="30">
        <f t="shared" si="97"/>
        <v>0</v>
      </c>
      <c r="L224" s="30">
        <f t="shared" si="97"/>
        <v>0</v>
      </c>
      <c r="M224" s="30">
        <f t="shared" si="97"/>
        <v>1660</v>
      </c>
      <c r="N224" s="30">
        <f t="shared" si="97"/>
        <v>0</v>
      </c>
      <c r="O224" s="30">
        <f t="shared" si="97"/>
        <v>0</v>
      </c>
      <c r="P224" s="30">
        <f t="shared" si="97"/>
        <v>0</v>
      </c>
      <c r="Q224" s="30">
        <f t="shared" si="97"/>
        <v>0</v>
      </c>
    </row>
    <row r="225" spans="1:17" s="16" customFormat="1" ht="10.9" customHeight="1">
      <c r="A225" s="40"/>
      <c r="B225" s="18" t="s">
        <v>29</v>
      </c>
      <c r="C225" s="19"/>
      <c r="D225" s="20"/>
      <c r="E225" s="21"/>
      <c r="F225" s="22">
        <f t="shared" si="87"/>
        <v>17542</v>
      </c>
      <c r="G225" s="23">
        <v>15882</v>
      </c>
      <c r="H225" s="22">
        <f t="shared" si="88"/>
        <v>15882</v>
      </c>
      <c r="I225" s="22">
        <f t="shared" si="89"/>
        <v>1660</v>
      </c>
      <c r="J225" s="22">
        <v>0</v>
      </c>
      <c r="K225" s="22">
        <v>0</v>
      </c>
      <c r="L225" s="22">
        <v>0</v>
      </c>
      <c r="M225" s="22">
        <v>1660</v>
      </c>
      <c r="N225" s="22">
        <v>0</v>
      </c>
      <c r="O225" s="22">
        <v>0</v>
      </c>
      <c r="P225" s="22">
        <v>0</v>
      </c>
      <c r="Q225" s="22">
        <v>0</v>
      </c>
    </row>
    <row r="226" spans="1:17" s="16" customFormat="1" ht="36.75" customHeight="1">
      <c r="A226" s="25">
        <v>76</v>
      </c>
      <c r="B226" s="44" t="s">
        <v>307</v>
      </c>
      <c r="C226" s="27" t="s">
        <v>308</v>
      </c>
      <c r="D226" s="56" t="s">
        <v>104</v>
      </c>
      <c r="E226" s="29">
        <f>F226</f>
        <v>3500</v>
      </c>
      <c r="F226" s="30">
        <f t="shared" si="87"/>
        <v>3500</v>
      </c>
      <c r="G226" s="31">
        <f>G227+G228</f>
        <v>0</v>
      </c>
      <c r="H226" s="31">
        <f t="shared" si="88"/>
        <v>0</v>
      </c>
      <c r="I226" s="31">
        <f t="shared" si="89"/>
        <v>3500</v>
      </c>
      <c r="J226" s="30">
        <f t="shared" ref="J226:Q226" si="98">SUM(J227:J228)</f>
        <v>0</v>
      </c>
      <c r="K226" s="30">
        <f t="shared" si="98"/>
        <v>0</v>
      </c>
      <c r="L226" s="30">
        <f t="shared" si="98"/>
        <v>1000</v>
      </c>
      <c r="M226" s="30">
        <f t="shared" si="98"/>
        <v>1250</v>
      </c>
      <c r="N226" s="30">
        <f t="shared" si="98"/>
        <v>1250</v>
      </c>
      <c r="O226" s="30">
        <f t="shared" si="98"/>
        <v>0</v>
      </c>
      <c r="P226" s="30">
        <f t="shared" si="98"/>
        <v>0</v>
      </c>
      <c r="Q226" s="30">
        <f t="shared" si="98"/>
        <v>0</v>
      </c>
    </row>
    <row r="227" spans="1:17" s="16" customFormat="1" ht="11.45" customHeight="1">
      <c r="A227" s="17"/>
      <c r="B227" s="18" t="s">
        <v>29</v>
      </c>
      <c r="C227" s="22"/>
      <c r="D227" s="22"/>
      <c r="E227" s="22"/>
      <c r="F227" s="49">
        <f t="shared" si="87"/>
        <v>2000</v>
      </c>
      <c r="G227" s="22">
        <v>0</v>
      </c>
      <c r="H227" s="22">
        <f t="shared" si="88"/>
        <v>0</v>
      </c>
      <c r="I227" s="22">
        <f t="shared" si="89"/>
        <v>2000</v>
      </c>
      <c r="J227" s="50">
        <v>0</v>
      </c>
      <c r="K227" s="51">
        <v>0</v>
      </c>
      <c r="L227" s="53">
        <v>500</v>
      </c>
      <c r="M227" s="53">
        <v>750</v>
      </c>
      <c r="N227" s="52">
        <v>750</v>
      </c>
      <c r="O227" s="52">
        <v>0</v>
      </c>
      <c r="P227" s="53">
        <v>0</v>
      </c>
      <c r="Q227" s="50">
        <v>0</v>
      </c>
    </row>
    <row r="228" spans="1:17" s="16" customFormat="1" ht="11.45" customHeight="1">
      <c r="A228" s="17"/>
      <c r="B228" s="18" t="s">
        <v>41</v>
      </c>
      <c r="C228" s="22"/>
      <c r="D228" s="22"/>
      <c r="E228" s="22"/>
      <c r="F228" s="49">
        <f t="shared" si="87"/>
        <v>1500</v>
      </c>
      <c r="G228" s="22">
        <v>0</v>
      </c>
      <c r="H228" s="22">
        <f t="shared" si="88"/>
        <v>0</v>
      </c>
      <c r="I228" s="22">
        <f t="shared" si="89"/>
        <v>1500</v>
      </c>
      <c r="J228" s="50">
        <v>0</v>
      </c>
      <c r="K228" s="50">
        <v>0</v>
      </c>
      <c r="L228" s="53">
        <v>500</v>
      </c>
      <c r="M228" s="53">
        <v>500</v>
      </c>
      <c r="N228" s="52">
        <v>500</v>
      </c>
      <c r="O228" s="52">
        <v>0</v>
      </c>
      <c r="P228" s="53">
        <v>0</v>
      </c>
      <c r="Q228" s="50">
        <v>0</v>
      </c>
    </row>
    <row r="229" spans="1:17" s="16" customFormat="1" ht="21" customHeight="1">
      <c r="A229" s="25">
        <v>77</v>
      </c>
      <c r="B229" s="38" t="s">
        <v>152</v>
      </c>
      <c r="C229" s="27" t="s">
        <v>167</v>
      </c>
      <c r="D229" s="28" t="s">
        <v>71</v>
      </c>
      <c r="E229" s="29">
        <f>F229</f>
        <v>4846.7</v>
      </c>
      <c r="F229" s="30">
        <f t="shared" si="87"/>
        <v>4846.7</v>
      </c>
      <c r="G229" s="31">
        <f>G230</f>
        <v>0</v>
      </c>
      <c r="H229" s="31">
        <f t="shared" si="88"/>
        <v>812.7</v>
      </c>
      <c r="I229" s="30">
        <f t="shared" si="89"/>
        <v>4034</v>
      </c>
      <c r="J229" s="30">
        <f t="shared" ref="J229:Q229" si="99">SUM(J230)</f>
        <v>812.7</v>
      </c>
      <c r="K229" s="31">
        <f t="shared" si="99"/>
        <v>3045</v>
      </c>
      <c r="L229" s="31">
        <f t="shared" si="99"/>
        <v>989</v>
      </c>
      <c r="M229" s="30">
        <f t="shared" si="99"/>
        <v>0</v>
      </c>
      <c r="N229" s="30">
        <f t="shared" si="99"/>
        <v>0</v>
      </c>
      <c r="O229" s="30">
        <f t="shared" si="99"/>
        <v>0</v>
      </c>
      <c r="P229" s="30">
        <f t="shared" si="99"/>
        <v>0</v>
      </c>
      <c r="Q229" s="30">
        <f t="shared" si="99"/>
        <v>0</v>
      </c>
    </row>
    <row r="230" spans="1:17" s="16" customFormat="1" ht="10.9" customHeight="1">
      <c r="A230" s="40"/>
      <c r="B230" s="18" t="s">
        <v>29</v>
      </c>
      <c r="C230" s="19"/>
      <c r="D230" s="20"/>
      <c r="E230" s="21"/>
      <c r="F230" s="22">
        <f t="shared" si="87"/>
        <v>4846.7</v>
      </c>
      <c r="G230" s="23">
        <v>0</v>
      </c>
      <c r="H230" s="22">
        <f t="shared" si="88"/>
        <v>812.7</v>
      </c>
      <c r="I230" s="22">
        <f t="shared" si="89"/>
        <v>4034</v>
      </c>
      <c r="J230" s="22">
        <v>812.7</v>
      </c>
      <c r="K230" s="22">
        <v>3045</v>
      </c>
      <c r="L230" s="22">
        <v>989</v>
      </c>
      <c r="M230" s="22">
        <v>0</v>
      </c>
      <c r="N230" s="22">
        <v>0</v>
      </c>
      <c r="O230" s="22">
        <v>0</v>
      </c>
      <c r="P230" s="22">
        <v>0</v>
      </c>
      <c r="Q230" s="22">
        <f>SUM(N230:N230)</f>
        <v>0</v>
      </c>
    </row>
    <row r="231" spans="1:17" s="7" customFormat="1" ht="18" customHeight="1">
      <c r="A231" s="108" t="s">
        <v>201</v>
      </c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10"/>
    </row>
    <row r="232" spans="1:17" s="7" customFormat="1" ht="48.75" customHeight="1">
      <c r="A232" s="25">
        <v>78</v>
      </c>
      <c r="B232" s="44" t="s">
        <v>202</v>
      </c>
      <c r="C232" s="27" t="s">
        <v>167</v>
      </c>
      <c r="D232" s="56" t="s">
        <v>94</v>
      </c>
      <c r="E232" s="29">
        <f>F232</f>
        <v>9450</v>
      </c>
      <c r="F232" s="30">
        <f t="shared" ref="F232:F237" si="100">G232+I232+J232+Q232</f>
        <v>9450</v>
      </c>
      <c r="G232" s="31">
        <f>G233</f>
        <v>0</v>
      </c>
      <c r="H232" s="31">
        <f t="shared" ref="H232:H237" si="101">G232+J232</f>
        <v>0</v>
      </c>
      <c r="I232" s="30">
        <f t="shared" ref="I232:I237" si="102">SUM(K232:O232)</f>
        <v>9450</v>
      </c>
      <c r="J232" s="30">
        <f t="shared" ref="J232:Q232" si="103">SUM(J233)</f>
        <v>0</v>
      </c>
      <c r="K232" s="30">
        <f t="shared" si="103"/>
        <v>2150</v>
      </c>
      <c r="L232" s="30">
        <f t="shared" si="103"/>
        <v>300</v>
      </c>
      <c r="M232" s="30">
        <f t="shared" si="103"/>
        <v>0</v>
      </c>
      <c r="N232" s="30">
        <f t="shared" si="103"/>
        <v>0</v>
      </c>
      <c r="O232" s="30">
        <f t="shared" si="103"/>
        <v>7000</v>
      </c>
      <c r="P232" s="30">
        <f t="shared" si="103"/>
        <v>0</v>
      </c>
      <c r="Q232" s="30">
        <f t="shared" si="103"/>
        <v>0</v>
      </c>
    </row>
    <row r="233" spans="1:17" s="7" customFormat="1" ht="12.6" customHeight="1">
      <c r="A233" s="40"/>
      <c r="B233" s="18" t="s">
        <v>29</v>
      </c>
      <c r="C233" s="19"/>
      <c r="D233" s="20"/>
      <c r="E233" s="21"/>
      <c r="F233" s="22">
        <f t="shared" si="100"/>
        <v>9450</v>
      </c>
      <c r="G233" s="23">
        <v>0</v>
      </c>
      <c r="H233" s="22">
        <f t="shared" si="101"/>
        <v>0</v>
      </c>
      <c r="I233" s="22">
        <f t="shared" si="102"/>
        <v>9450</v>
      </c>
      <c r="J233" s="22">
        <v>0</v>
      </c>
      <c r="K233" s="22">
        <f>2300-150</f>
        <v>2150</v>
      </c>
      <c r="L233" s="22">
        <v>300</v>
      </c>
      <c r="M233" s="22">
        <v>0</v>
      </c>
      <c r="N233" s="22">
        <v>0</v>
      </c>
      <c r="O233" s="22">
        <v>7000</v>
      </c>
      <c r="P233" s="22">
        <v>0</v>
      </c>
      <c r="Q233" s="22">
        <v>0</v>
      </c>
    </row>
    <row r="234" spans="1:17" s="7" customFormat="1" ht="37.5" customHeight="1">
      <c r="A234" s="25">
        <v>79</v>
      </c>
      <c r="B234" s="26" t="s">
        <v>203</v>
      </c>
      <c r="C234" s="27" t="s">
        <v>167</v>
      </c>
      <c r="D234" s="56" t="s">
        <v>204</v>
      </c>
      <c r="E234" s="29">
        <f>F234</f>
        <v>1050</v>
      </c>
      <c r="F234" s="30">
        <f t="shared" si="100"/>
        <v>1050</v>
      </c>
      <c r="G234" s="31">
        <f>G235</f>
        <v>0</v>
      </c>
      <c r="H234" s="31">
        <f t="shared" si="101"/>
        <v>0</v>
      </c>
      <c r="I234" s="30">
        <f t="shared" si="102"/>
        <v>1050</v>
      </c>
      <c r="J234" s="30">
        <f t="shared" ref="J234:Q234" si="104">SUM(J235)</f>
        <v>0</v>
      </c>
      <c r="K234" s="30">
        <f t="shared" si="104"/>
        <v>0</v>
      </c>
      <c r="L234" s="30">
        <f t="shared" si="104"/>
        <v>1050</v>
      </c>
      <c r="M234" s="30">
        <f t="shared" si="104"/>
        <v>0</v>
      </c>
      <c r="N234" s="30">
        <f t="shared" si="104"/>
        <v>0</v>
      </c>
      <c r="O234" s="30">
        <f t="shared" si="104"/>
        <v>0</v>
      </c>
      <c r="P234" s="30">
        <f t="shared" si="104"/>
        <v>0</v>
      </c>
      <c r="Q234" s="30">
        <f t="shared" si="104"/>
        <v>0</v>
      </c>
    </row>
    <row r="235" spans="1:17" s="7" customFormat="1" ht="12.6" customHeight="1">
      <c r="A235" s="40"/>
      <c r="B235" s="18" t="s">
        <v>29</v>
      </c>
      <c r="C235" s="19"/>
      <c r="D235" s="20"/>
      <c r="E235" s="21"/>
      <c r="F235" s="22">
        <f t="shared" si="100"/>
        <v>1050</v>
      </c>
      <c r="G235" s="23">
        <v>0</v>
      </c>
      <c r="H235" s="22">
        <f t="shared" si="101"/>
        <v>0</v>
      </c>
      <c r="I235" s="22">
        <f t="shared" si="102"/>
        <v>1050</v>
      </c>
      <c r="J235" s="22">
        <v>0</v>
      </c>
      <c r="K235" s="22">
        <v>0</v>
      </c>
      <c r="L235" s="22">
        <v>1050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</row>
    <row r="236" spans="1:17" s="7" customFormat="1" ht="51.75" customHeight="1">
      <c r="A236" s="25">
        <v>80</v>
      </c>
      <c r="B236" s="26" t="s">
        <v>205</v>
      </c>
      <c r="C236" s="27" t="s">
        <v>167</v>
      </c>
      <c r="D236" s="56" t="s">
        <v>176</v>
      </c>
      <c r="E236" s="29">
        <f>F236</f>
        <v>3100</v>
      </c>
      <c r="F236" s="30">
        <f t="shared" si="100"/>
        <v>3100</v>
      </c>
      <c r="G236" s="31">
        <f>G237</f>
        <v>0</v>
      </c>
      <c r="H236" s="31">
        <f t="shared" si="101"/>
        <v>0</v>
      </c>
      <c r="I236" s="30">
        <f t="shared" si="102"/>
        <v>3100</v>
      </c>
      <c r="J236" s="30">
        <f t="shared" ref="J236:Q236" si="105">SUM(J237)</f>
        <v>0</v>
      </c>
      <c r="K236" s="30">
        <f t="shared" si="105"/>
        <v>0</v>
      </c>
      <c r="L236" s="30">
        <f t="shared" si="105"/>
        <v>2100</v>
      </c>
      <c r="M236" s="30">
        <f t="shared" si="105"/>
        <v>1000</v>
      </c>
      <c r="N236" s="30">
        <f t="shared" si="105"/>
        <v>0</v>
      </c>
      <c r="O236" s="30">
        <f t="shared" si="105"/>
        <v>0</v>
      </c>
      <c r="P236" s="30">
        <f t="shared" si="105"/>
        <v>0</v>
      </c>
      <c r="Q236" s="30">
        <f t="shared" si="105"/>
        <v>0</v>
      </c>
    </row>
    <row r="237" spans="1:17" s="7" customFormat="1" ht="12.6" customHeight="1">
      <c r="A237" s="40"/>
      <c r="B237" s="18" t="s">
        <v>29</v>
      </c>
      <c r="C237" s="19"/>
      <c r="D237" s="20"/>
      <c r="E237" s="21"/>
      <c r="F237" s="22">
        <f t="shared" si="100"/>
        <v>3100</v>
      </c>
      <c r="G237" s="23">
        <v>0</v>
      </c>
      <c r="H237" s="22">
        <f t="shared" si="101"/>
        <v>0</v>
      </c>
      <c r="I237" s="22">
        <f t="shared" si="102"/>
        <v>3100</v>
      </c>
      <c r="J237" s="22">
        <v>0</v>
      </c>
      <c r="K237" s="22">
        <v>0</v>
      </c>
      <c r="L237" s="22">
        <v>2100</v>
      </c>
      <c r="M237" s="22">
        <v>1000</v>
      </c>
      <c r="N237" s="22">
        <v>0</v>
      </c>
      <c r="O237" s="22">
        <v>0</v>
      </c>
      <c r="P237" s="22">
        <v>0</v>
      </c>
      <c r="Q237" s="22">
        <v>0</v>
      </c>
    </row>
    <row r="238" spans="1:17" s="7" customFormat="1" ht="18" customHeight="1">
      <c r="A238" s="108" t="s">
        <v>206</v>
      </c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10"/>
    </row>
    <row r="239" spans="1:17" s="16" customFormat="1" ht="22.9" customHeight="1">
      <c r="A239" s="25">
        <v>81</v>
      </c>
      <c r="B239" s="26" t="s">
        <v>207</v>
      </c>
      <c r="C239" s="27" t="s">
        <v>208</v>
      </c>
      <c r="D239" s="28" t="s">
        <v>113</v>
      </c>
      <c r="E239" s="29">
        <f>F239</f>
        <v>57268.326000000001</v>
      </c>
      <c r="F239" s="30">
        <f t="shared" ref="F239:F245" si="106">G239+I239+J239+Q239</f>
        <v>57268.326000000001</v>
      </c>
      <c r="G239" s="31">
        <f>G240+G241</f>
        <v>42760.775999999998</v>
      </c>
      <c r="H239" s="31">
        <f t="shared" ref="H239:H245" si="107">G239+J239</f>
        <v>43063.826000000001</v>
      </c>
      <c r="I239" s="30">
        <f t="shared" ref="I239:I245" si="108">SUM(K239:O239)</f>
        <v>13134.5</v>
      </c>
      <c r="J239" s="30">
        <f>SUM(J240:J241)</f>
        <v>303.05</v>
      </c>
      <c r="K239" s="30">
        <f t="shared" ref="K239:Q239" si="109">SUM(K240)</f>
        <v>484.5</v>
      </c>
      <c r="L239" s="30">
        <f t="shared" si="109"/>
        <v>2070</v>
      </c>
      <c r="M239" s="30">
        <f t="shared" si="109"/>
        <v>3630</v>
      </c>
      <c r="N239" s="30">
        <f t="shared" si="109"/>
        <v>3000</v>
      </c>
      <c r="O239" s="30">
        <f t="shared" si="109"/>
        <v>3950</v>
      </c>
      <c r="P239" s="30">
        <f t="shared" si="109"/>
        <v>1070</v>
      </c>
      <c r="Q239" s="30">
        <f t="shared" si="109"/>
        <v>1070</v>
      </c>
    </row>
    <row r="240" spans="1:17" s="16" customFormat="1" ht="12.6" customHeight="1">
      <c r="A240" s="40"/>
      <c r="B240" s="18" t="s">
        <v>29</v>
      </c>
      <c r="C240" s="19"/>
      <c r="D240" s="20"/>
      <c r="E240" s="21"/>
      <c r="F240" s="22">
        <f t="shared" si="106"/>
        <v>52218.106</v>
      </c>
      <c r="G240" s="23">
        <v>37710.555999999997</v>
      </c>
      <c r="H240" s="22">
        <f t="shared" si="107"/>
        <v>38013.606</v>
      </c>
      <c r="I240" s="22">
        <f t="shared" si="108"/>
        <v>13134.5</v>
      </c>
      <c r="J240" s="22">
        <v>303.05</v>
      </c>
      <c r="K240" s="22">
        <v>484.5</v>
      </c>
      <c r="L240" s="22">
        <f>2100-30</f>
        <v>2070</v>
      </c>
      <c r="M240" s="22">
        <v>3630</v>
      </c>
      <c r="N240" s="22">
        <v>3000</v>
      </c>
      <c r="O240" s="22">
        <v>3950</v>
      </c>
      <c r="P240" s="22">
        <v>1070</v>
      </c>
      <c r="Q240" s="22">
        <v>1070</v>
      </c>
    </row>
    <row r="241" spans="1:17" s="7" customFormat="1" ht="12.6" customHeight="1">
      <c r="A241" s="40"/>
      <c r="B241" s="18" t="s">
        <v>209</v>
      </c>
      <c r="C241" s="19"/>
      <c r="D241" s="20"/>
      <c r="E241" s="21"/>
      <c r="F241" s="22">
        <f t="shared" si="106"/>
        <v>5050.22</v>
      </c>
      <c r="G241" s="23">
        <v>5050.22</v>
      </c>
      <c r="H241" s="22">
        <f t="shared" si="107"/>
        <v>5050.22</v>
      </c>
      <c r="I241" s="22">
        <f t="shared" si="108"/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f>SUM(N241:N241)</f>
        <v>0</v>
      </c>
    </row>
    <row r="242" spans="1:17" s="16" customFormat="1" ht="44.25" customHeight="1">
      <c r="A242" s="25">
        <v>82</v>
      </c>
      <c r="B242" s="44" t="s">
        <v>210</v>
      </c>
      <c r="C242" s="27" t="s">
        <v>211</v>
      </c>
      <c r="D242" s="28" t="s">
        <v>212</v>
      </c>
      <c r="E242" s="29">
        <f>F242</f>
        <v>14047.324999999999</v>
      </c>
      <c r="F242" s="30">
        <f t="shared" si="106"/>
        <v>14047.324999999999</v>
      </c>
      <c r="G242" s="31">
        <f>G243</f>
        <v>181.80099999999999</v>
      </c>
      <c r="H242" s="31">
        <f t="shared" si="107"/>
        <v>997.32500000000005</v>
      </c>
      <c r="I242" s="30">
        <f t="shared" si="108"/>
        <v>11150</v>
      </c>
      <c r="J242" s="30">
        <f>SUM(J243:J243)</f>
        <v>815.524</v>
      </c>
      <c r="K242" s="30">
        <f t="shared" ref="K242:Q242" si="110">SUM(K243)</f>
        <v>2600</v>
      </c>
      <c r="L242" s="30">
        <f t="shared" si="110"/>
        <v>2550</v>
      </c>
      <c r="M242" s="30">
        <f t="shared" si="110"/>
        <v>550</v>
      </c>
      <c r="N242" s="30">
        <f t="shared" si="110"/>
        <v>1000</v>
      </c>
      <c r="O242" s="30">
        <f t="shared" si="110"/>
        <v>4450</v>
      </c>
      <c r="P242" s="30">
        <f t="shared" si="110"/>
        <v>1900</v>
      </c>
      <c r="Q242" s="30">
        <f t="shared" si="110"/>
        <v>1900</v>
      </c>
    </row>
    <row r="243" spans="1:17" s="16" customFormat="1" ht="12.6" customHeight="1">
      <c r="A243" s="40"/>
      <c r="B243" s="18" t="s">
        <v>29</v>
      </c>
      <c r="C243" s="19"/>
      <c r="D243" s="20"/>
      <c r="E243" s="21"/>
      <c r="F243" s="22">
        <f t="shared" si="106"/>
        <v>14047.324999999999</v>
      </c>
      <c r="G243" s="23">
        <v>181.80099999999999</v>
      </c>
      <c r="H243" s="22">
        <f t="shared" si="107"/>
        <v>997.32500000000005</v>
      </c>
      <c r="I243" s="22">
        <f t="shared" si="108"/>
        <v>11150</v>
      </c>
      <c r="J243" s="22">
        <v>815.524</v>
      </c>
      <c r="K243" s="22">
        <v>2600</v>
      </c>
      <c r="L243" s="22">
        <v>2550</v>
      </c>
      <c r="M243" s="22">
        <v>550</v>
      </c>
      <c r="N243" s="22">
        <v>1000</v>
      </c>
      <c r="O243" s="22">
        <v>4450</v>
      </c>
      <c r="P243" s="22">
        <v>1900</v>
      </c>
      <c r="Q243" s="22">
        <v>1900</v>
      </c>
    </row>
    <row r="244" spans="1:17" s="16" customFormat="1" ht="21.6" customHeight="1">
      <c r="A244" s="25">
        <v>83</v>
      </c>
      <c r="B244" s="26" t="s">
        <v>213</v>
      </c>
      <c r="C244" s="27" t="s">
        <v>214</v>
      </c>
      <c r="D244" s="28" t="s">
        <v>84</v>
      </c>
      <c r="E244" s="29">
        <f>F244</f>
        <v>2571.33</v>
      </c>
      <c r="F244" s="30">
        <f t="shared" si="106"/>
        <v>2571.33</v>
      </c>
      <c r="G244" s="31">
        <f>G245</f>
        <v>1831.33</v>
      </c>
      <c r="H244" s="31">
        <f t="shared" si="107"/>
        <v>2261.33</v>
      </c>
      <c r="I244" s="30">
        <f t="shared" si="108"/>
        <v>310</v>
      </c>
      <c r="J244" s="30">
        <f>SUM(J245:J245)</f>
        <v>430</v>
      </c>
      <c r="K244" s="30">
        <f t="shared" ref="K244:Q244" si="111">SUM(K245)</f>
        <v>0</v>
      </c>
      <c r="L244" s="30">
        <f t="shared" si="111"/>
        <v>60</v>
      </c>
      <c r="M244" s="30">
        <f t="shared" si="111"/>
        <v>250</v>
      </c>
      <c r="N244" s="30">
        <f t="shared" si="111"/>
        <v>0</v>
      </c>
      <c r="O244" s="30">
        <f t="shared" si="111"/>
        <v>0</v>
      </c>
      <c r="P244" s="30">
        <f t="shared" si="111"/>
        <v>0</v>
      </c>
      <c r="Q244" s="30">
        <f t="shared" si="111"/>
        <v>0</v>
      </c>
    </row>
    <row r="245" spans="1:17" s="16" customFormat="1" ht="12.6" customHeight="1">
      <c r="A245" s="40"/>
      <c r="B245" s="18" t="s">
        <v>29</v>
      </c>
      <c r="C245" s="19"/>
      <c r="D245" s="20"/>
      <c r="E245" s="21"/>
      <c r="F245" s="22">
        <f t="shared" si="106"/>
        <v>2571.33</v>
      </c>
      <c r="G245" s="23">
        <v>1831.33</v>
      </c>
      <c r="H245" s="22">
        <f t="shared" si="107"/>
        <v>2261.33</v>
      </c>
      <c r="I245" s="22">
        <f t="shared" si="108"/>
        <v>310</v>
      </c>
      <c r="J245" s="22">
        <v>430</v>
      </c>
      <c r="K245" s="22">
        <v>0</v>
      </c>
      <c r="L245" s="22">
        <v>60</v>
      </c>
      <c r="M245" s="22">
        <f>250</f>
        <v>250</v>
      </c>
      <c r="N245" s="22">
        <v>0</v>
      </c>
      <c r="O245" s="22">
        <v>0</v>
      </c>
      <c r="P245" s="22">
        <v>0</v>
      </c>
      <c r="Q245" s="22">
        <v>0</v>
      </c>
    </row>
    <row r="246" spans="1:17" s="16" customFormat="1" ht="21" customHeight="1">
      <c r="A246" s="111" t="s">
        <v>215</v>
      </c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3"/>
    </row>
    <row r="247" spans="1:17" s="16" customFormat="1" ht="21.6" customHeight="1">
      <c r="A247" s="25">
        <v>84</v>
      </c>
      <c r="B247" s="38" t="s">
        <v>216</v>
      </c>
      <c r="C247" s="27" t="s">
        <v>167</v>
      </c>
      <c r="D247" s="28" t="s">
        <v>40</v>
      </c>
      <c r="E247" s="29">
        <f>F247</f>
        <v>67287.203000000009</v>
      </c>
      <c r="F247" s="30">
        <f t="shared" ref="F247:F256" si="112">G247+I247+J247+Q247</f>
        <v>67287.203000000009</v>
      </c>
      <c r="G247" s="31">
        <f>G248</f>
        <v>28364.203000000001</v>
      </c>
      <c r="H247" s="31">
        <f t="shared" ref="H247:H256" si="113">G247+J247</f>
        <v>30139.203000000001</v>
      </c>
      <c r="I247" s="30">
        <f t="shared" ref="I247:I256" si="114">SUM(K247:O247)</f>
        <v>22248</v>
      </c>
      <c r="J247" s="30">
        <f t="shared" ref="J247:Q247" si="115">SUM(J248)</f>
        <v>1775</v>
      </c>
      <c r="K247" s="30">
        <f t="shared" si="115"/>
        <v>4098</v>
      </c>
      <c r="L247" s="30">
        <f t="shared" si="115"/>
        <v>4000</v>
      </c>
      <c r="M247" s="30">
        <f t="shared" si="115"/>
        <v>4660</v>
      </c>
      <c r="N247" s="30">
        <f t="shared" si="115"/>
        <v>3990</v>
      </c>
      <c r="O247" s="30">
        <f t="shared" si="115"/>
        <v>5500</v>
      </c>
      <c r="P247" s="30">
        <f t="shared" si="115"/>
        <v>14900</v>
      </c>
      <c r="Q247" s="30">
        <f t="shared" si="115"/>
        <v>14900</v>
      </c>
    </row>
    <row r="248" spans="1:17" s="16" customFormat="1" ht="12.6" customHeight="1">
      <c r="A248" s="40"/>
      <c r="B248" s="18" t="s">
        <v>29</v>
      </c>
      <c r="C248" s="19"/>
      <c r="D248" s="20"/>
      <c r="E248" s="21"/>
      <c r="F248" s="22">
        <f t="shared" si="112"/>
        <v>67287.203000000009</v>
      </c>
      <c r="G248" s="23">
        <v>28364.203000000001</v>
      </c>
      <c r="H248" s="22">
        <f t="shared" si="113"/>
        <v>30139.203000000001</v>
      </c>
      <c r="I248" s="22">
        <f t="shared" si="114"/>
        <v>22248</v>
      </c>
      <c r="J248" s="22">
        <v>1775</v>
      </c>
      <c r="K248" s="22">
        <v>4098</v>
      </c>
      <c r="L248" s="22">
        <v>4000</v>
      </c>
      <c r="M248" s="22">
        <v>4660</v>
      </c>
      <c r="N248" s="22">
        <v>3990</v>
      </c>
      <c r="O248" s="22">
        <v>5500</v>
      </c>
      <c r="P248" s="22">
        <v>14900</v>
      </c>
      <c r="Q248" s="22">
        <v>14900</v>
      </c>
    </row>
    <row r="249" spans="1:17" s="16" customFormat="1" ht="22.9" customHeight="1">
      <c r="A249" s="25">
        <v>85</v>
      </c>
      <c r="B249" s="41" t="s">
        <v>217</v>
      </c>
      <c r="C249" s="27" t="s">
        <v>174</v>
      </c>
      <c r="D249" s="28" t="s">
        <v>44</v>
      </c>
      <c r="E249" s="29">
        <f>F249</f>
        <v>25721.132999999998</v>
      </c>
      <c r="F249" s="30">
        <f t="shared" si="112"/>
        <v>25721.132999999998</v>
      </c>
      <c r="G249" s="31">
        <f>G250</f>
        <v>20984.920999999998</v>
      </c>
      <c r="H249" s="31">
        <f t="shared" si="113"/>
        <v>23353.026999999998</v>
      </c>
      <c r="I249" s="30">
        <f t="shared" si="114"/>
        <v>2368.1060000000002</v>
      </c>
      <c r="J249" s="30">
        <f t="shared" ref="J249:Q249" si="116">SUM(J250:J250)</f>
        <v>2368.1060000000002</v>
      </c>
      <c r="K249" s="30">
        <f t="shared" si="116"/>
        <v>2368.1060000000002</v>
      </c>
      <c r="L249" s="30">
        <f t="shared" si="116"/>
        <v>0</v>
      </c>
      <c r="M249" s="30">
        <f t="shared" si="116"/>
        <v>0</v>
      </c>
      <c r="N249" s="30">
        <f t="shared" si="116"/>
        <v>0</v>
      </c>
      <c r="O249" s="30">
        <f t="shared" si="116"/>
        <v>0</v>
      </c>
      <c r="P249" s="30">
        <f t="shared" si="116"/>
        <v>0</v>
      </c>
      <c r="Q249" s="30">
        <f t="shared" si="116"/>
        <v>0</v>
      </c>
    </row>
    <row r="250" spans="1:17" s="16" customFormat="1" ht="12.75" customHeight="1">
      <c r="A250" s="40"/>
      <c r="B250" s="18" t="s">
        <v>29</v>
      </c>
      <c r="C250" s="19"/>
      <c r="D250" s="20"/>
      <c r="E250" s="21"/>
      <c r="F250" s="22">
        <f t="shared" si="112"/>
        <v>25721.132999999998</v>
      </c>
      <c r="G250" s="23">
        <v>20984.920999999998</v>
      </c>
      <c r="H250" s="22">
        <f t="shared" si="113"/>
        <v>23353.026999999998</v>
      </c>
      <c r="I250" s="22">
        <f t="shared" si="114"/>
        <v>2368.1060000000002</v>
      </c>
      <c r="J250" s="22">
        <v>2368.1060000000002</v>
      </c>
      <c r="K250" s="22">
        <v>2368.1060000000002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</row>
    <row r="251" spans="1:17" s="16" customFormat="1" ht="36.75" customHeight="1">
      <c r="A251" s="25">
        <v>86</v>
      </c>
      <c r="B251" s="44" t="s">
        <v>301</v>
      </c>
      <c r="C251" s="27" t="s">
        <v>302</v>
      </c>
      <c r="D251" s="56" t="s">
        <v>176</v>
      </c>
      <c r="E251" s="29">
        <f>F251</f>
        <v>1000</v>
      </c>
      <c r="F251" s="30">
        <f t="shared" si="112"/>
        <v>1000</v>
      </c>
      <c r="G251" s="31">
        <f>G252+G253</f>
        <v>0</v>
      </c>
      <c r="H251" s="31">
        <f t="shared" si="113"/>
        <v>0</v>
      </c>
      <c r="I251" s="31">
        <f t="shared" si="114"/>
        <v>1000</v>
      </c>
      <c r="J251" s="30">
        <f t="shared" ref="J251:Q251" si="117">SUM(J252:J253)</f>
        <v>0</v>
      </c>
      <c r="K251" s="30">
        <f t="shared" si="117"/>
        <v>0</v>
      </c>
      <c r="L251" s="30">
        <f t="shared" si="117"/>
        <v>100</v>
      </c>
      <c r="M251" s="30">
        <f t="shared" si="117"/>
        <v>900</v>
      </c>
      <c r="N251" s="30">
        <f t="shared" si="117"/>
        <v>0</v>
      </c>
      <c r="O251" s="30">
        <f t="shared" si="117"/>
        <v>0</v>
      </c>
      <c r="P251" s="30">
        <f t="shared" si="117"/>
        <v>0</v>
      </c>
      <c r="Q251" s="30">
        <f t="shared" si="117"/>
        <v>0</v>
      </c>
    </row>
    <row r="252" spans="1:17" s="16" customFormat="1" ht="11.45" customHeight="1">
      <c r="A252" s="17"/>
      <c r="B252" s="18" t="s">
        <v>29</v>
      </c>
      <c r="C252" s="22"/>
      <c r="D252" s="22"/>
      <c r="E252" s="22"/>
      <c r="F252" s="49">
        <f t="shared" si="112"/>
        <v>308.94299999999998</v>
      </c>
      <c r="G252" s="22">
        <v>0</v>
      </c>
      <c r="H252" s="22">
        <f t="shared" si="113"/>
        <v>0</v>
      </c>
      <c r="I252" s="22">
        <f t="shared" si="114"/>
        <v>308.94299999999998</v>
      </c>
      <c r="J252" s="50">
        <v>0</v>
      </c>
      <c r="K252" s="51">
        <v>0</v>
      </c>
      <c r="L252" s="53">
        <v>30.893999999999998</v>
      </c>
      <c r="M252" s="53">
        <v>278.04899999999998</v>
      </c>
      <c r="N252" s="52">
        <v>0</v>
      </c>
      <c r="O252" s="52">
        <v>0</v>
      </c>
      <c r="P252" s="53">
        <v>0</v>
      </c>
      <c r="Q252" s="50">
        <v>0</v>
      </c>
    </row>
    <row r="253" spans="1:17" s="16" customFormat="1" ht="11.45" customHeight="1">
      <c r="A253" s="17"/>
      <c r="B253" s="18" t="s">
        <v>41</v>
      </c>
      <c r="C253" s="22"/>
      <c r="D253" s="22"/>
      <c r="E253" s="22"/>
      <c r="F253" s="49">
        <f t="shared" si="112"/>
        <v>691.05700000000002</v>
      </c>
      <c r="G253" s="22">
        <v>0</v>
      </c>
      <c r="H253" s="22">
        <f t="shared" si="113"/>
        <v>0</v>
      </c>
      <c r="I253" s="22">
        <f t="shared" si="114"/>
        <v>691.05700000000002</v>
      </c>
      <c r="J253" s="50">
        <v>0</v>
      </c>
      <c r="K253" s="50">
        <v>0</v>
      </c>
      <c r="L253" s="53">
        <v>69.105999999999995</v>
      </c>
      <c r="M253" s="53">
        <v>621.95100000000002</v>
      </c>
      <c r="N253" s="52">
        <v>0</v>
      </c>
      <c r="O253" s="52">
        <v>0</v>
      </c>
      <c r="P253" s="53">
        <v>0</v>
      </c>
      <c r="Q253" s="50">
        <v>0</v>
      </c>
    </row>
    <row r="254" spans="1:17" s="16" customFormat="1" ht="22.5" customHeight="1">
      <c r="A254" s="25">
        <v>87</v>
      </c>
      <c r="B254" s="44" t="s">
        <v>218</v>
      </c>
      <c r="C254" s="27" t="s">
        <v>219</v>
      </c>
      <c r="D254" s="28" t="s">
        <v>100</v>
      </c>
      <c r="E254" s="29">
        <f>F254</f>
        <v>26000</v>
      </c>
      <c r="F254" s="30">
        <f t="shared" si="112"/>
        <v>26000</v>
      </c>
      <c r="G254" s="31">
        <f>G255</f>
        <v>0</v>
      </c>
      <c r="H254" s="31">
        <f t="shared" si="113"/>
        <v>0</v>
      </c>
      <c r="I254" s="30">
        <f t="shared" si="114"/>
        <v>22000</v>
      </c>
      <c r="J254" s="30">
        <f>SUM(J255:J255)</f>
        <v>0</v>
      </c>
      <c r="K254" s="30">
        <f>K255+K256</f>
        <v>0</v>
      </c>
      <c r="L254" s="30">
        <f t="shared" ref="L254:Q254" si="118">L255+L256</f>
        <v>500</v>
      </c>
      <c r="M254" s="30">
        <f t="shared" si="118"/>
        <v>6500</v>
      </c>
      <c r="N254" s="30">
        <f t="shared" si="118"/>
        <v>10000</v>
      </c>
      <c r="O254" s="30">
        <f t="shared" si="118"/>
        <v>5000</v>
      </c>
      <c r="P254" s="30">
        <f t="shared" si="118"/>
        <v>4000</v>
      </c>
      <c r="Q254" s="30">
        <f t="shared" si="118"/>
        <v>4000</v>
      </c>
    </row>
    <row r="255" spans="1:17" s="16" customFormat="1" ht="12.75" customHeight="1">
      <c r="A255" s="40"/>
      <c r="B255" s="18" t="s">
        <v>29</v>
      </c>
      <c r="C255" s="19"/>
      <c r="D255" s="20"/>
      <c r="E255" s="21"/>
      <c r="F255" s="22">
        <f>G255+I255+J255+Q255</f>
        <v>8500</v>
      </c>
      <c r="G255" s="23">
        <v>0</v>
      </c>
      <c r="H255" s="22">
        <f t="shared" si="113"/>
        <v>0</v>
      </c>
      <c r="I255" s="22">
        <f t="shared" si="114"/>
        <v>7300</v>
      </c>
      <c r="J255" s="22">
        <v>0</v>
      </c>
      <c r="K255" s="62">
        <f>+K256</f>
        <v>0</v>
      </c>
      <c r="L255" s="22">
        <v>500</v>
      </c>
      <c r="M255" s="22">
        <v>2300</v>
      </c>
      <c r="N255" s="22">
        <v>3000</v>
      </c>
      <c r="O255" s="22">
        <v>1500</v>
      </c>
      <c r="P255" s="22">
        <v>1200</v>
      </c>
      <c r="Q255" s="22">
        <v>1200</v>
      </c>
    </row>
    <row r="256" spans="1:17" s="16" customFormat="1" ht="12.75" customHeight="1">
      <c r="A256" s="40"/>
      <c r="B256" s="18" t="s">
        <v>41</v>
      </c>
      <c r="C256" s="19"/>
      <c r="D256" s="20"/>
      <c r="E256" s="21"/>
      <c r="F256" s="22">
        <f t="shared" si="112"/>
        <v>17500</v>
      </c>
      <c r="G256" s="23">
        <v>0</v>
      </c>
      <c r="H256" s="22">
        <f t="shared" si="113"/>
        <v>0</v>
      </c>
      <c r="I256" s="22">
        <f t="shared" si="114"/>
        <v>14700</v>
      </c>
      <c r="J256" s="22">
        <v>0</v>
      </c>
      <c r="K256" s="16">
        <v>0</v>
      </c>
      <c r="L256" s="22">
        <v>0</v>
      </c>
      <c r="M256" s="22">
        <v>4200</v>
      </c>
      <c r="N256" s="22">
        <v>7000</v>
      </c>
      <c r="O256" s="22">
        <v>3500</v>
      </c>
      <c r="P256" s="22">
        <v>2800</v>
      </c>
      <c r="Q256" s="22">
        <v>2800</v>
      </c>
    </row>
    <row r="257" spans="1:171" s="7" customFormat="1" ht="17.25" customHeight="1">
      <c r="A257" s="111" t="s">
        <v>220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3"/>
    </row>
    <row r="258" spans="1:171" s="63" customFormat="1" ht="21.6" customHeight="1">
      <c r="A258" s="25">
        <v>88</v>
      </c>
      <c r="B258" s="44" t="s">
        <v>221</v>
      </c>
      <c r="C258" s="27" t="s">
        <v>222</v>
      </c>
      <c r="D258" s="28" t="s">
        <v>223</v>
      </c>
      <c r="E258" s="29">
        <f>F258-F261</f>
        <v>820989.223</v>
      </c>
      <c r="F258" s="30">
        <f t="shared" ref="F258:F291" si="119">G258+I258+J258+Q258</f>
        <v>833959.223</v>
      </c>
      <c r="G258" s="31">
        <f>G259+G260+G261</f>
        <v>774055.93400000001</v>
      </c>
      <c r="H258" s="31">
        <f t="shared" ref="H258:H291" si="120">G258+J258</f>
        <v>802626.00699999998</v>
      </c>
      <c r="I258" s="30">
        <f t="shared" ref="I258:I289" si="121">SUM(K258:O258)</f>
        <v>31333.216</v>
      </c>
      <c r="J258" s="30">
        <f t="shared" ref="J258:Q258" si="122">SUM(J259:J261)</f>
        <v>28570.073</v>
      </c>
      <c r="K258" s="30">
        <f t="shared" si="122"/>
        <v>14626.067999999999</v>
      </c>
      <c r="L258" s="30">
        <f t="shared" si="122"/>
        <v>12915.568000000001</v>
      </c>
      <c r="M258" s="30">
        <f t="shared" si="122"/>
        <v>3791.58</v>
      </c>
      <c r="N258" s="30">
        <f t="shared" si="122"/>
        <v>0</v>
      </c>
      <c r="O258" s="30">
        <f t="shared" si="122"/>
        <v>0</v>
      </c>
      <c r="P258" s="30">
        <f t="shared" si="122"/>
        <v>0</v>
      </c>
      <c r="Q258" s="30">
        <f t="shared" si="122"/>
        <v>0</v>
      </c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</row>
    <row r="259" spans="1:171" s="16" customFormat="1" ht="10.9" customHeight="1">
      <c r="A259" s="40"/>
      <c r="B259" s="18" t="s">
        <v>29</v>
      </c>
      <c r="C259" s="19"/>
      <c r="D259" s="20"/>
      <c r="E259" s="21"/>
      <c r="F259" s="22">
        <f t="shared" si="119"/>
        <v>721058.223</v>
      </c>
      <c r="G259" s="23">
        <v>661154.93400000001</v>
      </c>
      <c r="H259" s="22">
        <f t="shared" si="120"/>
        <v>689725.00699999998</v>
      </c>
      <c r="I259" s="22">
        <f t="shared" si="121"/>
        <v>31333.216</v>
      </c>
      <c r="J259" s="22">
        <v>28570.073</v>
      </c>
      <c r="K259" s="22">
        <f>15442.268-816.2</f>
        <v>14626.067999999999</v>
      </c>
      <c r="L259" s="22">
        <f>11447.368+652+816.2</f>
        <v>12915.568000000001</v>
      </c>
      <c r="M259" s="22">
        <v>3791.58</v>
      </c>
      <c r="N259" s="22">
        <v>0</v>
      </c>
      <c r="O259" s="22">
        <v>0</v>
      </c>
      <c r="P259" s="22">
        <v>0</v>
      </c>
      <c r="Q259" s="22">
        <v>0</v>
      </c>
    </row>
    <row r="260" spans="1:171" s="16" customFormat="1" ht="10.9" customHeight="1">
      <c r="A260" s="40"/>
      <c r="B260" s="18" t="s">
        <v>41</v>
      </c>
      <c r="C260" s="19"/>
      <c r="D260" s="20"/>
      <c r="E260" s="21"/>
      <c r="F260" s="22">
        <f t="shared" si="119"/>
        <v>99931</v>
      </c>
      <c r="G260" s="23">
        <v>99931</v>
      </c>
      <c r="H260" s="22">
        <f t="shared" si="120"/>
        <v>99931</v>
      </c>
      <c r="I260" s="22">
        <f t="shared" si="121"/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</row>
    <row r="261" spans="1:171" s="16" customFormat="1" ht="10.9" customHeight="1">
      <c r="A261" s="40"/>
      <c r="B261" s="18" t="s">
        <v>224</v>
      </c>
      <c r="C261" s="19"/>
      <c r="D261" s="20"/>
      <c r="E261" s="21"/>
      <c r="F261" s="22">
        <f t="shared" si="119"/>
        <v>12970</v>
      </c>
      <c r="G261" s="23">
        <v>12970</v>
      </c>
      <c r="H261" s="22">
        <f t="shared" si="120"/>
        <v>12970</v>
      </c>
      <c r="I261" s="22">
        <f t="shared" si="121"/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</row>
    <row r="262" spans="1:171" s="16" customFormat="1" ht="21.6" customHeight="1">
      <c r="A262" s="25">
        <v>89</v>
      </c>
      <c r="B262" s="38" t="s">
        <v>225</v>
      </c>
      <c r="C262" s="27" t="s">
        <v>226</v>
      </c>
      <c r="D262" s="28" t="s">
        <v>157</v>
      </c>
      <c r="E262" s="29">
        <f>F262</f>
        <v>46216.063999999998</v>
      </c>
      <c r="F262" s="30">
        <f t="shared" si="119"/>
        <v>46216.063999999998</v>
      </c>
      <c r="G262" s="31">
        <f>G263+G264</f>
        <v>17230.900000000001</v>
      </c>
      <c r="H262" s="31">
        <f t="shared" si="120"/>
        <v>19490.161</v>
      </c>
      <c r="I262" s="30">
        <f t="shared" si="121"/>
        <v>26725.902999999998</v>
      </c>
      <c r="J262" s="30">
        <f t="shared" ref="J262:Q262" si="123">SUM(J263:J264)</f>
        <v>2259.261</v>
      </c>
      <c r="K262" s="30">
        <f t="shared" si="123"/>
        <v>6046.018</v>
      </c>
      <c r="L262" s="30">
        <f t="shared" si="123"/>
        <v>5309.8850000000002</v>
      </c>
      <c r="M262" s="30">
        <f t="shared" si="123"/>
        <v>1000</v>
      </c>
      <c r="N262" s="30">
        <f t="shared" si="123"/>
        <v>4000</v>
      </c>
      <c r="O262" s="30">
        <f t="shared" si="123"/>
        <v>10370</v>
      </c>
      <c r="P262" s="30">
        <f t="shared" si="123"/>
        <v>0</v>
      </c>
      <c r="Q262" s="30">
        <f t="shared" si="123"/>
        <v>0</v>
      </c>
    </row>
    <row r="263" spans="1:171" s="16" customFormat="1" ht="10.9" customHeight="1">
      <c r="A263" s="40"/>
      <c r="B263" s="18" t="s">
        <v>29</v>
      </c>
      <c r="C263" s="19"/>
      <c r="D263" s="20"/>
      <c r="E263" s="21"/>
      <c r="F263" s="22">
        <f t="shared" si="119"/>
        <v>39670.464</v>
      </c>
      <c r="G263" s="23">
        <v>13710.9</v>
      </c>
      <c r="H263" s="22">
        <f t="shared" si="120"/>
        <v>15022.960999999999</v>
      </c>
      <c r="I263" s="22">
        <f t="shared" si="121"/>
        <v>24647.503000000001</v>
      </c>
      <c r="J263" s="22">
        <f>1688.064-343.574-32.429</f>
        <v>1312.0609999999999</v>
      </c>
      <c r="K263" s="22">
        <f>7245+32.429-800.926-1931.054</f>
        <v>4545.4489999999996</v>
      </c>
      <c r="L263" s="22">
        <f>2801+1931.054</f>
        <v>4732.0540000000001</v>
      </c>
      <c r="M263" s="22">
        <v>1000</v>
      </c>
      <c r="N263" s="22">
        <v>4000</v>
      </c>
      <c r="O263" s="22">
        <v>10370</v>
      </c>
      <c r="P263" s="22">
        <v>0</v>
      </c>
      <c r="Q263" s="22">
        <v>0</v>
      </c>
    </row>
    <row r="264" spans="1:171" s="16" customFormat="1" ht="10.9" customHeight="1">
      <c r="A264" s="40"/>
      <c r="B264" s="18" t="s">
        <v>133</v>
      </c>
      <c r="C264" s="19"/>
      <c r="D264" s="20"/>
      <c r="E264" s="21"/>
      <c r="F264" s="22">
        <f t="shared" si="119"/>
        <v>6545.5999999999995</v>
      </c>
      <c r="G264" s="23">
        <v>3520</v>
      </c>
      <c r="H264" s="22">
        <f t="shared" si="120"/>
        <v>4467.2</v>
      </c>
      <c r="I264" s="22">
        <f t="shared" si="121"/>
        <v>2078.4</v>
      </c>
      <c r="J264" s="22">
        <f>2853.563-1906.363</f>
        <v>947.2</v>
      </c>
      <c r="K264" s="22">
        <f>1603.4+475-475-419.831+317</f>
        <v>1500.569</v>
      </c>
      <c r="L264" s="22">
        <f>419.831+475-317</f>
        <v>577.83100000000002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</row>
    <row r="265" spans="1:171" s="16" customFormat="1" ht="38.25" customHeight="1">
      <c r="A265" s="25">
        <v>90</v>
      </c>
      <c r="B265" s="26" t="s">
        <v>227</v>
      </c>
      <c r="C265" s="27" t="s">
        <v>228</v>
      </c>
      <c r="D265" s="28" t="s">
        <v>229</v>
      </c>
      <c r="E265" s="29">
        <f>F265</f>
        <v>52739.012000000002</v>
      </c>
      <c r="F265" s="30">
        <f t="shared" si="119"/>
        <v>52739.012000000002</v>
      </c>
      <c r="G265" s="31">
        <f>G266</f>
        <v>1047.694</v>
      </c>
      <c r="H265" s="31">
        <f t="shared" si="120"/>
        <v>14526.527</v>
      </c>
      <c r="I265" s="30">
        <f t="shared" si="121"/>
        <v>38212.485000000001</v>
      </c>
      <c r="J265" s="30">
        <f t="shared" ref="J265:Q265" si="124">SUM(J266:J266)</f>
        <v>13478.833000000001</v>
      </c>
      <c r="K265" s="30">
        <f t="shared" si="124"/>
        <v>20280.485000000001</v>
      </c>
      <c r="L265" s="30">
        <f t="shared" si="124"/>
        <v>11782</v>
      </c>
      <c r="M265" s="30">
        <f t="shared" si="124"/>
        <v>1000</v>
      </c>
      <c r="N265" s="30">
        <f t="shared" si="124"/>
        <v>1650</v>
      </c>
      <c r="O265" s="30">
        <f t="shared" si="124"/>
        <v>3500</v>
      </c>
      <c r="P265" s="30">
        <f t="shared" si="124"/>
        <v>0</v>
      </c>
      <c r="Q265" s="30">
        <f t="shared" si="124"/>
        <v>0</v>
      </c>
    </row>
    <row r="266" spans="1:171" s="7" customFormat="1" ht="10.9" customHeight="1">
      <c r="A266" s="40"/>
      <c r="B266" s="18" t="s">
        <v>29</v>
      </c>
      <c r="C266" s="19"/>
      <c r="D266" s="20"/>
      <c r="E266" s="21"/>
      <c r="F266" s="22">
        <f t="shared" si="119"/>
        <v>52739.012000000002</v>
      </c>
      <c r="G266" s="23">
        <v>1047.694</v>
      </c>
      <c r="H266" s="22">
        <f t="shared" si="120"/>
        <v>14526.527</v>
      </c>
      <c r="I266" s="22">
        <f t="shared" si="121"/>
        <v>38212.485000000001</v>
      </c>
      <c r="J266" s="22">
        <v>13478.833000000001</v>
      </c>
      <c r="K266" s="22">
        <f>27335+4960.385-1500-10458-56.9</f>
        <v>20280.485000000001</v>
      </c>
      <c r="L266" s="22">
        <f>160+1500-1000+11089+33</f>
        <v>11782</v>
      </c>
      <c r="M266" s="22">
        <v>1000</v>
      </c>
      <c r="N266" s="22">
        <v>1650</v>
      </c>
      <c r="O266" s="22">
        <v>3500</v>
      </c>
      <c r="P266" s="22">
        <v>0</v>
      </c>
      <c r="Q266" s="22">
        <v>0</v>
      </c>
    </row>
    <row r="267" spans="1:171" s="16" customFormat="1" ht="23.45" customHeight="1">
      <c r="A267" s="25">
        <v>91</v>
      </c>
      <c r="B267" s="44" t="s">
        <v>230</v>
      </c>
      <c r="C267" s="27" t="s">
        <v>222</v>
      </c>
      <c r="D267" s="28" t="s">
        <v>231</v>
      </c>
      <c r="E267" s="29">
        <f>F267</f>
        <v>119439.58199999999</v>
      </c>
      <c r="F267" s="30">
        <f t="shared" si="119"/>
        <v>119439.58199999999</v>
      </c>
      <c r="G267" s="31">
        <f>G268+G269+G270</f>
        <v>116941.837</v>
      </c>
      <c r="H267" s="31">
        <f t="shared" si="120"/>
        <v>116981.45699999999</v>
      </c>
      <c r="I267" s="30">
        <f t="shared" si="121"/>
        <v>2458.125</v>
      </c>
      <c r="J267" s="30">
        <f t="shared" ref="J267:Q267" si="125">SUM(J268:J270)</f>
        <v>39.619999999999997</v>
      </c>
      <c r="K267" s="30">
        <f t="shared" si="125"/>
        <v>0.49999999999991473</v>
      </c>
      <c r="L267" s="30">
        <f t="shared" si="125"/>
        <v>2457.5</v>
      </c>
      <c r="M267" s="30">
        <f t="shared" si="125"/>
        <v>0.125</v>
      </c>
      <c r="N267" s="30">
        <f t="shared" si="125"/>
        <v>0</v>
      </c>
      <c r="O267" s="30">
        <f t="shared" si="125"/>
        <v>0</v>
      </c>
      <c r="P267" s="30">
        <f t="shared" si="125"/>
        <v>0</v>
      </c>
      <c r="Q267" s="30">
        <f t="shared" si="125"/>
        <v>0</v>
      </c>
    </row>
    <row r="268" spans="1:171" s="16" customFormat="1" ht="10.9" customHeight="1">
      <c r="A268" s="40"/>
      <c r="B268" s="18" t="s">
        <v>29</v>
      </c>
      <c r="C268" s="19"/>
      <c r="D268" s="20"/>
      <c r="E268" s="21"/>
      <c r="F268" s="22">
        <f t="shared" si="119"/>
        <v>77686.962</v>
      </c>
      <c r="G268" s="23">
        <v>75189.217000000004</v>
      </c>
      <c r="H268" s="22">
        <f t="shared" si="120"/>
        <v>75228.837</v>
      </c>
      <c r="I268" s="22">
        <f t="shared" si="121"/>
        <v>2458.125</v>
      </c>
      <c r="J268" s="22">
        <v>39.619999999999997</v>
      </c>
      <c r="K268" s="22">
        <f>2457.5-2269.65-187.35</f>
        <v>0.49999999999991473</v>
      </c>
      <c r="L268" s="22">
        <f>2270.15+187.35</f>
        <v>2457.5</v>
      </c>
      <c r="M268" s="22">
        <v>0.125</v>
      </c>
      <c r="N268" s="22">
        <v>0</v>
      </c>
      <c r="O268" s="22">
        <v>0</v>
      </c>
      <c r="P268" s="22">
        <v>0</v>
      </c>
      <c r="Q268" s="22">
        <v>0</v>
      </c>
    </row>
    <row r="269" spans="1:171" s="16" customFormat="1" ht="10.9" customHeight="1">
      <c r="A269" s="40"/>
      <c r="B269" s="18" t="s">
        <v>41</v>
      </c>
      <c r="C269" s="19"/>
      <c r="D269" s="20"/>
      <c r="E269" s="21"/>
      <c r="F269" s="22">
        <f t="shared" si="119"/>
        <v>32065.62</v>
      </c>
      <c r="G269" s="23">
        <v>32065.62</v>
      </c>
      <c r="H269" s="22">
        <f t="shared" si="120"/>
        <v>32065.62</v>
      </c>
      <c r="I269" s="22">
        <f t="shared" si="121"/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</row>
    <row r="270" spans="1:171" s="16" customFormat="1" ht="10.9" customHeight="1">
      <c r="A270" s="40"/>
      <c r="B270" s="18" t="s">
        <v>232</v>
      </c>
      <c r="C270" s="19"/>
      <c r="D270" s="20"/>
      <c r="E270" s="21"/>
      <c r="F270" s="22">
        <f t="shared" si="119"/>
        <v>9687</v>
      </c>
      <c r="G270" s="23">
        <v>9687</v>
      </c>
      <c r="H270" s="22">
        <f t="shared" si="120"/>
        <v>9687</v>
      </c>
      <c r="I270" s="22">
        <f t="shared" si="121"/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</row>
    <row r="271" spans="1:171" s="16" customFormat="1" ht="32.450000000000003" customHeight="1">
      <c r="A271" s="25">
        <v>92</v>
      </c>
      <c r="B271" s="44" t="s">
        <v>233</v>
      </c>
      <c r="C271" s="27" t="s">
        <v>234</v>
      </c>
      <c r="D271" s="28" t="s">
        <v>235</v>
      </c>
      <c r="E271" s="29">
        <f>F271</f>
        <v>85187.312999999995</v>
      </c>
      <c r="F271" s="30">
        <f>G271+I271+J271+Q271</f>
        <v>85187.312999999995</v>
      </c>
      <c r="G271" s="31">
        <f>G272+G273</f>
        <v>56934.972999999998</v>
      </c>
      <c r="H271" s="31">
        <f t="shared" si="120"/>
        <v>58541.252999999997</v>
      </c>
      <c r="I271" s="30">
        <f t="shared" si="121"/>
        <v>17376.059999999998</v>
      </c>
      <c r="J271" s="30">
        <f t="shared" ref="J271:Q271" si="126">SUM(J272:J273)</f>
        <v>1606.2800000000002</v>
      </c>
      <c r="K271" s="30">
        <f t="shared" si="126"/>
        <v>7544.66</v>
      </c>
      <c r="L271" s="30">
        <f t="shared" si="126"/>
        <v>2871.4</v>
      </c>
      <c r="M271" s="30">
        <f t="shared" si="126"/>
        <v>2860</v>
      </c>
      <c r="N271" s="30">
        <f t="shared" si="126"/>
        <v>3000</v>
      </c>
      <c r="O271" s="30">
        <f t="shared" si="126"/>
        <v>1100</v>
      </c>
      <c r="P271" s="30">
        <f t="shared" si="126"/>
        <v>0</v>
      </c>
      <c r="Q271" s="30">
        <f t="shared" si="126"/>
        <v>9270</v>
      </c>
    </row>
    <row r="272" spans="1:171" s="16" customFormat="1" ht="10.9" customHeight="1">
      <c r="A272" s="40"/>
      <c r="B272" s="18" t="s">
        <v>29</v>
      </c>
      <c r="C272" s="19"/>
      <c r="D272" s="20"/>
      <c r="E272" s="21"/>
      <c r="F272" s="22">
        <f t="shared" si="119"/>
        <v>80387.312999999995</v>
      </c>
      <c r="G272" s="23">
        <v>52134.972999999998</v>
      </c>
      <c r="H272" s="22">
        <f t="shared" si="120"/>
        <v>53741.252999999997</v>
      </c>
      <c r="I272" s="22">
        <f t="shared" si="121"/>
        <v>17376.059999999998</v>
      </c>
      <c r="J272" s="22">
        <f>1613.88-7.6</f>
        <v>1606.2800000000002</v>
      </c>
      <c r="K272" s="22">
        <f>7916-371.34</f>
        <v>7544.66</v>
      </c>
      <c r="L272" s="22">
        <f>2500+371.4</f>
        <v>2871.4</v>
      </c>
      <c r="M272" s="22">
        <v>2860</v>
      </c>
      <c r="N272" s="22">
        <v>3000</v>
      </c>
      <c r="O272" s="22">
        <v>1100</v>
      </c>
      <c r="P272" s="22">
        <v>0</v>
      </c>
      <c r="Q272" s="22">
        <v>9270</v>
      </c>
    </row>
    <row r="273" spans="1:17" s="16" customFormat="1" ht="11.25">
      <c r="A273" s="40"/>
      <c r="B273" s="18" t="s">
        <v>82</v>
      </c>
      <c r="C273" s="19"/>
      <c r="D273" s="20"/>
      <c r="E273" s="21"/>
      <c r="F273" s="22">
        <f t="shared" si="119"/>
        <v>4800</v>
      </c>
      <c r="G273" s="23">
        <v>4800</v>
      </c>
      <c r="H273" s="22">
        <f t="shared" si="120"/>
        <v>4800</v>
      </c>
      <c r="I273" s="22">
        <f t="shared" si="121"/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f>SUM(N273:N273)</f>
        <v>0</v>
      </c>
    </row>
    <row r="274" spans="1:17" s="16" customFormat="1" ht="22.9" customHeight="1">
      <c r="A274" s="25">
        <v>93</v>
      </c>
      <c r="B274" s="26" t="s">
        <v>237</v>
      </c>
      <c r="C274" s="27" t="s">
        <v>236</v>
      </c>
      <c r="D274" s="28" t="s">
        <v>238</v>
      </c>
      <c r="E274" s="29">
        <f>F274</f>
        <v>21738</v>
      </c>
      <c r="F274" s="30">
        <f t="shared" si="119"/>
        <v>21738</v>
      </c>
      <c r="G274" s="31">
        <f>G275</f>
        <v>3538</v>
      </c>
      <c r="H274" s="31">
        <f t="shared" si="120"/>
        <v>3538</v>
      </c>
      <c r="I274" s="30">
        <f>SUM(K274:O274)</f>
        <v>3200</v>
      </c>
      <c r="J274" s="30">
        <f>SUM(J275)</f>
        <v>0</v>
      </c>
      <c r="K274" s="30">
        <f t="shared" ref="K274:Q274" si="127">SUM(K275)</f>
        <v>200</v>
      </c>
      <c r="L274" s="30">
        <f t="shared" si="127"/>
        <v>0</v>
      </c>
      <c r="M274" s="30">
        <f t="shared" si="127"/>
        <v>1000</v>
      </c>
      <c r="N274" s="30">
        <f t="shared" si="127"/>
        <v>1000</v>
      </c>
      <c r="O274" s="30">
        <f t="shared" si="127"/>
        <v>1000</v>
      </c>
      <c r="P274" s="30">
        <f t="shared" si="127"/>
        <v>5000</v>
      </c>
      <c r="Q274" s="30">
        <f t="shared" si="127"/>
        <v>15000</v>
      </c>
    </row>
    <row r="275" spans="1:17" s="16" customFormat="1" ht="10.9" customHeight="1">
      <c r="A275" s="40"/>
      <c r="B275" s="18" t="s">
        <v>29</v>
      </c>
      <c r="C275" s="19"/>
      <c r="D275" s="20"/>
      <c r="E275" s="21"/>
      <c r="F275" s="22">
        <f t="shared" si="119"/>
        <v>21738</v>
      </c>
      <c r="G275" s="23">
        <v>3538</v>
      </c>
      <c r="H275" s="22">
        <f t="shared" si="120"/>
        <v>3538</v>
      </c>
      <c r="I275" s="22">
        <f>SUM(K275:O275)</f>
        <v>3200</v>
      </c>
      <c r="J275" s="22">
        <v>0</v>
      </c>
      <c r="K275" s="22">
        <v>200</v>
      </c>
      <c r="L275" s="22">
        <v>0</v>
      </c>
      <c r="M275" s="22">
        <v>1000</v>
      </c>
      <c r="N275" s="22">
        <v>1000</v>
      </c>
      <c r="O275" s="22">
        <v>1000</v>
      </c>
      <c r="P275" s="22">
        <v>5000</v>
      </c>
      <c r="Q275" s="22">
        <v>15000</v>
      </c>
    </row>
    <row r="276" spans="1:17" s="16" customFormat="1" ht="22.9" customHeight="1">
      <c r="A276" s="25">
        <v>94</v>
      </c>
      <c r="B276" s="26" t="s">
        <v>239</v>
      </c>
      <c r="C276" s="27" t="s">
        <v>240</v>
      </c>
      <c r="D276" s="46" t="s">
        <v>241</v>
      </c>
      <c r="E276" s="29">
        <f>F276</f>
        <v>20000</v>
      </c>
      <c r="F276" s="30">
        <f t="shared" si="119"/>
        <v>20000</v>
      </c>
      <c r="G276" s="31">
        <f>G277+G278</f>
        <v>0</v>
      </c>
      <c r="H276" s="31">
        <f t="shared" si="120"/>
        <v>2873.058</v>
      </c>
      <c r="I276" s="30">
        <f t="shared" si="121"/>
        <v>17126.941999999999</v>
      </c>
      <c r="J276" s="30">
        <f>SUM(J277:J278)</f>
        <v>2873.058</v>
      </c>
      <c r="K276" s="30">
        <f t="shared" ref="K276:Q276" si="128">SUM(K277:K278)</f>
        <v>4556.6409999999996</v>
      </c>
      <c r="L276" s="30">
        <f t="shared" si="128"/>
        <v>5570.3010000000004</v>
      </c>
      <c r="M276" s="30">
        <f t="shared" si="128"/>
        <v>5000</v>
      </c>
      <c r="N276" s="30">
        <f t="shared" si="128"/>
        <v>2000</v>
      </c>
      <c r="O276" s="30">
        <f t="shared" si="128"/>
        <v>0</v>
      </c>
      <c r="P276" s="30">
        <f t="shared" si="128"/>
        <v>0</v>
      </c>
      <c r="Q276" s="30">
        <f t="shared" si="128"/>
        <v>0</v>
      </c>
    </row>
    <row r="277" spans="1:17" s="16" customFormat="1" ht="10.9" customHeight="1">
      <c r="A277" s="40"/>
      <c r="B277" s="18" t="s">
        <v>29</v>
      </c>
      <c r="C277" s="19"/>
      <c r="D277" s="20"/>
      <c r="E277" s="21"/>
      <c r="F277" s="22">
        <f t="shared" si="119"/>
        <v>2000</v>
      </c>
      <c r="G277" s="23">
        <v>0</v>
      </c>
      <c r="H277" s="22">
        <f t="shared" si="120"/>
        <v>287.30700000000002</v>
      </c>
      <c r="I277" s="22">
        <f t="shared" si="121"/>
        <v>1712.693</v>
      </c>
      <c r="J277" s="22">
        <f>400-112.693</f>
        <v>287.30700000000002</v>
      </c>
      <c r="K277" s="22">
        <f>400+112.693-57.028</f>
        <v>455.66499999999996</v>
      </c>
      <c r="L277" s="22">
        <f>400+51.221+105.807</f>
        <v>557.02800000000002</v>
      </c>
      <c r="M277" s="22">
        <f>400+100</f>
        <v>500</v>
      </c>
      <c r="N277" s="22">
        <f>400-200</f>
        <v>200</v>
      </c>
      <c r="O277" s="22">
        <v>0</v>
      </c>
      <c r="P277" s="22">
        <v>0</v>
      </c>
      <c r="Q277" s="22">
        <v>0</v>
      </c>
    </row>
    <row r="278" spans="1:17" s="16" customFormat="1" ht="10.9" customHeight="1">
      <c r="A278" s="40"/>
      <c r="B278" s="18" t="s">
        <v>124</v>
      </c>
      <c r="C278" s="19"/>
      <c r="D278" s="20"/>
      <c r="E278" s="21"/>
      <c r="F278" s="22">
        <f t="shared" si="119"/>
        <v>18000</v>
      </c>
      <c r="G278" s="23">
        <v>0</v>
      </c>
      <c r="H278" s="22">
        <f t="shared" si="120"/>
        <v>2585.7509999999997</v>
      </c>
      <c r="I278" s="22">
        <f t="shared" si="121"/>
        <v>15414.249</v>
      </c>
      <c r="J278" s="22">
        <f>3600-338.083-676.166</f>
        <v>2585.7509999999997</v>
      </c>
      <c r="K278" s="22">
        <f>3600+338.083+676.166-171.095-342.178</f>
        <v>4100.9759999999997</v>
      </c>
      <c r="L278" s="22">
        <f>3600-1200+461+1671.095+481.178</f>
        <v>5013.2730000000001</v>
      </c>
      <c r="M278" s="22">
        <f>3600+1200+600-900</f>
        <v>4500</v>
      </c>
      <c r="N278" s="22">
        <f>3600-1200-600</f>
        <v>1800</v>
      </c>
      <c r="O278" s="22">
        <v>0</v>
      </c>
      <c r="P278" s="22">
        <v>0</v>
      </c>
      <c r="Q278" s="22">
        <v>0</v>
      </c>
    </row>
    <row r="279" spans="1:17" s="16" customFormat="1" ht="22.9" customHeight="1">
      <c r="A279" s="25">
        <v>95</v>
      </c>
      <c r="B279" s="26" t="s">
        <v>242</v>
      </c>
      <c r="C279" s="27" t="s">
        <v>240</v>
      </c>
      <c r="D279" s="46" t="s">
        <v>146</v>
      </c>
      <c r="E279" s="29">
        <f>F279</f>
        <v>20000</v>
      </c>
      <c r="F279" s="30">
        <f t="shared" si="119"/>
        <v>20000</v>
      </c>
      <c r="G279" s="31">
        <f>G280+G281</f>
        <v>0</v>
      </c>
      <c r="H279" s="31">
        <f t="shared" si="120"/>
        <v>0</v>
      </c>
      <c r="I279" s="30">
        <f>SUM(K279:O279)</f>
        <v>20000</v>
      </c>
      <c r="J279" s="30">
        <f>SUM(J280:J281)</f>
        <v>0</v>
      </c>
      <c r="K279" s="30">
        <f t="shared" ref="K279:Q279" si="129">SUM(K280:K281)</f>
        <v>3966.0979999999995</v>
      </c>
      <c r="L279" s="31">
        <f t="shared" si="129"/>
        <v>7033.902</v>
      </c>
      <c r="M279" s="30">
        <f t="shared" si="129"/>
        <v>6000</v>
      </c>
      <c r="N279" s="30">
        <f t="shared" si="129"/>
        <v>3000</v>
      </c>
      <c r="O279" s="30">
        <f t="shared" si="129"/>
        <v>0</v>
      </c>
      <c r="P279" s="30">
        <f t="shared" si="129"/>
        <v>0</v>
      </c>
      <c r="Q279" s="30">
        <f t="shared" si="129"/>
        <v>0</v>
      </c>
    </row>
    <row r="280" spans="1:17" s="16" customFormat="1" ht="10.9" customHeight="1">
      <c r="A280" s="40"/>
      <c r="B280" s="18" t="s">
        <v>29</v>
      </c>
      <c r="C280" s="19"/>
      <c r="D280" s="20"/>
      <c r="E280" s="21"/>
      <c r="F280" s="22">
        <f t="shared" si="119"/>
        <v>2000</v>
      </c>
      <c r="G280" s="23">
        <v>0</v>
      </c>
      <c r="H280" s="22">
        <f t="shared" si="120"/>
        <v>0</v>
      </c>
      <c r="I280" s="22">
        <f>SUM(K280:O280)</f>
        <v>2000</v>
      </c>
      <c r="J280" s="22">
        <v>0</v>
      </c>
      <c r="K280" s="22">
        <f>500-103.389</f>
        <v>396.61099999999999</v>
      </c>
      <c r="L280" s="22">
        <f>500+75.791+500+127.598-500</f>
        <v>703.3889999999999</v>
      </c>
      <c r="M280" s="22">
        <f>500+100</f>
        <v>600</v>
      </c>
      <c r="N280" s="22">
        <f>500-200</f>
        <v>300</v>
      </c>
      <c r="O280" s="22">
        <v>0</v>
      </c>
      <c r="P280" s="22">
        <v>0</v>
      </c>
      <c r="Q280" s="22">
        <v>0</v>
      </c>
    </row>
    <row r="281" spans="1:17" s="16" customFormat="1" ht="10.9" customHeight="1">
      <c r="A281" s="40"/>
      <c r="B281" s="18" t="s">
        <v>124</v>
      </c>
      <c r="C281" s="19"/>
      <c r="D281" s="20"/>
      <c r="E281" s="21"/>
      <c r="F281" s="22">
        <f t="shared" si="119"/>
        <v>18000</v>
      </c>
      <c r="G281" s="23">
        <v>0</v>
      </c>
      <c r="H281" s="22">
        <f t="shared" si="120"/>
        <v>0</v>
      </c>
      <c r="I281" s="22">
        <f>SUM(K281:O281)</f>
        <v>18000</v>
      </c>
      <c r="J281" s="22">
        <v>0</v>
      </c>
      <c r="K281" s="22">
        <f>4500-310.171-620.342</f>
        <v>3569.4869999999996</v>
      </c>
      <c r="L281" s="22">
        <f>4500+682.115+2110.171-961.773</f>
        <v>6330.5129999999999</v>
      </c>
      <c r="M281" s="22">
        <f>4500-1200+2100</f>
        <v>5400</v>
      </c>
      <c r="N281" s="22">
        <f>4500-600-1200</f>
        <v>2700</v>
      </c>
      <c r="O281" s="22">
        <v>0</v>
      </c>
      <c r="P281" s="22">
        <v>0</v>
      </c>
      <c r="Q281" s="22">
        <v>0</v>
      </c>
    </row>
    <row r="282" spans="1:17" s="7" customFormat="1" ht="30" customHeight="1">
      <c r="A282" s="25">
        <v>96</v>
      </c>
      <c r="B282" s="41" t="s">
        <v>243</v>
      </c>
      <c r="C282" s="27" t="s">
        <v>244</v>
      </c>
      <c r="D282" s="28" t="s">
        <v>157</v>
      </c>
      <c r="E282" s="29">
        <f>F282</f>
        <v>16586.017</v>
      </c>
      <c r="F282" s="30">
        <f t="shared" si="119"/>
        <v>16586.017</v>
      </c>
      <c r="G282" s="31">
        <f>G283</f>
        <v>9522.5820000000003</v>
      </c>
      <c r="H282" s="31">
        <f t="shared" si="120"/>
        <v>10714.675999999999</v>
      </c>
      <c r="I282" s="30">
        <f t="shared" si="121"/>
        <v>5871.3410000000003</v>
      </c>
      <c r="J282" s="30">
        <f t="shared" ref="J282:Q282" si="130">SUM(J283)</f>
        <v>1192.0940000000001</v>
      </c>
      <c r="K282" s="30">
        <f t="shared" si="130"/>
        <v>257.34100000000001</v>
      </c>
      <c r="L282" s="30">
        <f t="shared" si="130"/>
        <v>1804</v>
      </c>
      <c r="M282" s="30">
        <f t="shared" si="130"/>
        <v>1500</v>
      </c>
      <c r="N282" s="30">
        <f t="shared" si="130"/>
        <v>1710</v>
      </c>
      <c r="O282" s="30">
        <f t="shared" si="130"/>
        <v>600</v>
      </c>
      <c r="P282" s="30">
        <f t="shared" si="130"/>
        <v>0</v>
      </c>
      <c r="Q282" s="30">
        <f t="shared" si="130"/>
        <v>0</v>
      </c>
    </row>
    <row r="283" spans="1:17" s="7" customFormat="1" ht="11.25" customHeight="1">
      <c r="A283" s="40"/>
      <c r="B283" s="18" t="s">
        <v>29</v>
      </c>
      <c r="C283" s="19"/>
      <c r="D283" s="20"/>
      <c r="E283" s="21"/>
      <c r="F283" s="22">
        <f t="shared" si="119"/>
        <v>16586.017</v>
      </c>
      <c r="G283" s="23">
        <v>9522.5820000000003</v>
      </c>
      <c r="H283" s="22">
        <f t="shared" si="120"/>
        <v>10714.675999999999</v>
      </c>
      <c r="I283" s="22">
        <f t="shared" si="121"/>
        <v>5871.3410000000003</v>
      </c>
      <c r="J283" s="22">
        <f>1192.27-0.176</f>
        <v>1192.0940000000001</v>
      </c>
      <c r="K283" s="22">
        <v>257.34100000000001</v>
      </c>
      <c r="L283" s="22">
        <v>1804</v>
      </c>
      <c r="M283" s="22">
        <v>1500</v>
      </c>
      <c r="N283" s="22">
        <v>1710</v>
      </c>
      <c r="O283" s="22">
        <v>600</v>
      </c>
      <c r="P283" s="22">
        <v>0</v>
      </c>
      <c r="Q283" s="22">
        <v>0</v>
      </c>
    </row>
    <row r="284" spans="1:17" s="16" customFormat="1" ht="21" customHeight="1">
      <c r="A284" s="25">
        <v>97</v>
      </c>
      <c r="B284" s="38" t="s">
        <v>245</v>
      </c>
      <c r="C284" s="27" t="s">
        <v>236</v>
      </c>
      <c r="D284" s="28" t="s">
        <v>94</v>
      </c>
      <c r="E284" s="29">
        <f>F284</f>
        <v>4850</v>
      </c>
      <c r="F284" s="30">
        <f t="shared" si="119"/>
        <v>4850</v>
      </c>
      <c r="G284" s="31">
        <f>G285</f>
        <v>0</v>
      </c>
      <c r="H284" s="31">
        <f t="shared" si="120"/>
        <v>0</v>
      </c>
      <c r="I284" s="30">
        <f t="shared" si="121"/>
        <v>4850</v>
      </c>
      <c r="J284" s="30">
        <f t="shared" ref="J284:Q284" si="131">SUM(J285)</f>
        <v>0</v>
      </c>
      <c r="K284" s="30">
        <f t="shared" si="131"/>
        <v>350</v>
      </c>
      <c r="L284" s="30">
        <f t="shared" si="131"/>
        <v>500</v>
      </c>
      <c r="M284" s="30">
        <f t="shared" si="131"/>
        <v>0</v>
      </c>
      <c r="N284" s="30">
        <f t="shared" si="131"/>
        <v>1000</v>
      </c>
      <c r="O284" s="30">
        <f t="shared" si="131"/>
        <v>3000</v>
      </c>
      <c r="P284" s="30">
        <f t="shared" si="131"/>
        <v>0</v>
      </c>
      <c r="Q284" s="30">
        <f t="shared" si="131"/>
        <v>0</v>
      </c>
    </row>
    <row r="285" spans="1:17" s="16" customFormat="1" ht="10.9" customHeight="1">
      <c r="A285" s="40"/>
      <c r="B285" s="18" t="s">
        <v>29</v>
      </c>
      <c r="C285" s="19"/>
      <c r="D285" s="20"/>
      <c r="E285" s="21"/>
      <c r="F285" s="22">
        <f t="shared" si="119"/>
        <v>4850</v>
      </c>
      <c r="G285" s="23">
        <v>0</v>
      </c>
      <c r="H285" s="22">
        <f t="shared" si="120"/>
        <v>0</v>
      </c>
      <c r="I285" s="22">
        <f t="shared" si="121"/>
        <v>4850</v>
      </c>
      <c r="J285" s="22">
        <v>0</v>
      </c>
      <c r="K285" s="22">
        <v>350</v>
      </c>
      <c r="L285" s="22">
        <f>1000-500</f>
        <v>500</v>
      </c>
      <c r="M285" s="22">
        <v>0</v>
      </c>
      <c r="N285" s="22">
        <f>4000-3000</f>
        <v>1000</v>
      </c>
      <c r="O285" s="22">
        <v>3000</v>
      </c>
      <c r="P285" s="22">
        <v>0</v>
      </c>
      <c r="Q285" s="22">
        <v>0</v>
      </c>
    </row>
    <row r="286" spans="1:17" s="16" customFormat="1" ht="22.9" customHeight="1">
      <c r="A286" s="25">
        <v>98</v>
      </c>
      <c r="B286" s="26" t="s">
        <v>246</v>
      </c>
      <c r="C286" s="27" t="s">
        <v>167</v>
      </c>
      <c r="D286" s="28" t="s">
        <v>247</v>
      </c>
      <c r="E286" s="29">
        <f>F286-F289</f>
        <v>21962.5</v>
      </c>
      <c r="F286" s="30">
        <f t="shared" si="119"/>
        <v>22106.5</v>
      </c>
      <c r="G286" s="31">
        <f>G287+G288+G289</f>
        <v>537.5</v>
      </c>
      <c r="H286" s="31">
        <f t="shared" si="120"/>
        <v>537.5</v>
      </c>
      <c r="I286" s="30">
        <f t="shared" si="121"/>
        <v>21569</v>
      </c>
      <c r="J286" s="30">
        <f t="shared" ref="J286:P286" si="132">SUM(J287:J289)</f>
        <v>0</v>
      </c>
      <c r="K286" s="30">
        <f t="shared" si="132"/>
        <v>575</v>
      </c>
      <c r="L286" s="31">
        <f t="shared" si="132"/>
        <v>20994</v>
      </c>
      <c r="M286" s="30">
        <f t="shared" si="132"/>
        <v>0</v>
      </c>
      <c r="N286" s="30">
        <f t="shared" si="132"/>
        <v>0</v>
      </c>
      <c r="O286" s="30">
        <f t="shared" si="132"/>
        <v>0</v>
      </c>
      <c r="P286" s="30">
        <f t="shared" si="132"/>
        <v>0</v>
      </c>
      <c r="Q286" s="30">
        <f>SUM(N286:N286)</f>
        <v>0</v>
      </c>
    </row>
    <row r="287" spans="1:17" s="16" customFormat="1" ht="10.9" customHeight="1">
      <c r="A287" s="40"/>
      <c r="B287" s="18" t="s">
        <v>29</v>
      </c>
      <c r="C287" s="19"/>
      <c r="D287" s="20"/>
      <c r="E287" s="21"/>
      <c r="F287" s="22">
        <f t="shared" si="119"/>
        <v>21962.5</v>
      </c>
      <c r="G287" s="23">
        <v>537.5</v>
      </c>
      <c r="H287" s="22">
        <f t="shared" si="120"/>
        <v>537.5</v>
      </c>
      <c r="I287" s="22">
        <f t="shared" si="121"/>
        <v>21425</v>
      </c>
      <c r="J287" s="22">
        <v>0</v>
      </c>
      <c r="K287" s="22">
        <v>575</v>
      </c>
      <c r="L287" s="34">
        <f>6850+14000</f>
        <v>20850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</row>
    <row r="288" spans="1:17" s="16" customFormat="1" ht="10.9" customHeight="1">
      <c r="A288" s="40"/>
      <c r="B288" s="18" t="s">
        <v>41</v>
      </c>
      <c r="C288" s="19"/>
      <c r="D288" s="20"/>
      <c r="E288" s="21"/>
      <c r="F288" s="22">
        <f t="shared" si="119"/>
        <v>0</v>
      </c>
      <c r="G288" s="23">
        <v>0</v>
      </c>
      <c r="H288" s="22">
        <f t="shared" si="120"/>
        <v>0</v>
      </c>
      <c r="I288" s="22">
        <f t="shared" si="121"/>
        <v>0</v>
      </c>
      <c r="J288" s="22">
        <v>0</v>
      </c>
      <c r="K288" s="22">
        <v>0</v>
      </c>
      <c r="L288" s="34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</row>
    <row r="289" spans="1:17" s="7" customFormat="1" ht="10.9" customHeight="1">
      <c r="A289" s="40"/>
      <c r="B289" s="18" t="s">
        <v>248</v>
      </c>
      <c r="C289" s="19"/>
      <c r="D289" s="20"/>
      <c r="E289" s="21"/>
      <c r="F289" s="22">
        <f t="shared" si="119"/>
        <v>144</v>
      </c>
      <c r="G289" s="23">
        <v>0</v>
      </c>
      <c r="H289" s="22">
        <f t="shared" si="120"/>
        <v>0</v>
      </c>
      <c r="I289" s="22">
        <f t="shared" si="121"/>
        <v>144</v>
      </c>
      <c r="J289" s="22">
        <v>0</v>
      </c>
      <c r="K289" s="22">
        <v>0</v>
      </c>
      <c r="L289" s="22">
        <v>144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</row>
    <row r="290" spans="1:17" s="16" customFormat="1" ht="27.75" customHeight="1">
      <c r="A290" s="25">
        <v>99</v>
      </c>
      <c r="B290" s="38" t="s">
        <v>152</v>
      </c>
      <c r="C290" s="27" t="s">
        <v>249</v>
      </c>
      <c r="D290" s="28" t="s">
        <v>71</v>
      </c>
      <c r="E290" s="29">
        <f>F290</f>
        <v>12288</v>
      </c>
      <c r="F290" s="30">
        <f t="shared" si="119"/>
        <v>12288</v>
      </c>
      <c r="G290" s="31">
        <f>G291</f>
        <v>0</v>
      </c>
      <c r="H290" s="31">
        <f t="shared" si="120"/>
        <v>151</v>
      </c>
      <c r="I290" s="30">
        <f>SUM(K290:O290)</f>
        <v>12137</v>
      </c>
      <c r="J290" s="30">
        <f t="shared" ref="J290:Q290" si="133">SUM(J291)</f>
        <v>151</v>
      </c>
      <c r="K290" s="31">
        <f t="shared" si="133"/>
        <v>4128.3599999999997</v>
      </c>
      <c r="L290" s="31">
        <f t="shared" si="133"/>
        <v>8008.64</v>
      </c>
      <c r="M290" s="30">
        <f t="shared" si="133"/>
        <v>0</v>
      </c>
      <c r="N290" s="30">
        <f t="shared" si="133"/>
        <v>0</v>
      </c>
      <c r="O290" s="30">
        <f t="shared" si="133"/>
        <v>0</v>
      </c>
      <c r="P290" s="30">
        <f t="shared" si="133"/>
        <v>0</v>
      </c>
      <c r="Q290" s="30">
        <f t="shared" si="133"/>
        <v>0</v>
      </c>
    </row>
    <row r="291" spans="1:17" s="16" customFormat="1" ht="10.9" customHeight="1">
      <c r="A291" s="40"/>
      <c r="B291" s="18" t="s">
        <v>29</v>
      </c>
      <c r="C291" s="19"/>
      <c r="D291" s="20"/>
      <c r="E291" s="21"/>
      <c r="F291" s="22">
        <f t="shared" si="119"/>
        <v>12288</v>
      </c>
      <c r="G291" s="23">
        <v>0</v>
      </c>
      <c r="H291" s="22">
        <f t="shared" si="120"/>
        <v>151</v>
      </c>
      <c r="I291" s="22">
        <f>SUM(K291:O291)</f>
        <v>12137</v>
      </c>
      <c r="J291" s="22">
        <v>151</v>
      </c>
      <c r="K291" s="22">
        <f>4707.36+68-647</f>
        <v>4128.3599999999997</v>
      </c>
      <c r="L291" s="22">
        <f>7361.64+647</f>
        <v>8008.64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</row>
    <row r="292" spans="1:17" s="7" customFormat="1" ht="17.25" customHeight="1">
      <c r="A292" s="111" t="s">
        <v>250</v>
      </c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3"/>
    </row>
    <row r="293" spans="1:17" s="16" customFormat="1" ht="32.25" customHeight="1">
      <c r="A293" s="25">
        <v>100</v>
      </c>
      <c r="B293" s="41" t="s">
        <v>251</v>
      </c>
      <c r="C293" s="27" t="s">
        <v>252</v>
      </c>
      <c r="D293" s="28" t="s">
        <v>123</v>
      </c>
      <c r="E293" s="29">
        <f>F293</f>
        <v>510384.39499999996</v>
      </c>
      <c r="F293" s="30">
        <f t="shared" ref="F293:F324" si="134">G293+I293+J293+Q293</f>
        <v>510384.39499999996</v>
      </c>
      <c r="G293" s="31">
        <f>G294+G295</f>
        <v>173913.96</v>
      </c>
      <c r="H293" s="31">
        <f t="shared" ref="H293:H324" si="135">G293+J293</f>
        <v>345838.76899999997</v>
      </c>
      <c r="I293" s="30">
        <f t="shared" ref="I293:I302" si="136">SUM(K293:O293)</f>
        <v>164545.62599999996</v>
      </c>
      <c r="J293" s="30">
        <f t="shared" ref="J293:P293" si="137">SUM(J294:J295)</f>
        <v>171924.80900000001</v>
      </c>
      <c r="K293" s="30">
        <f t="shared" si="137"/>
        <v>143421.55499999999</v>
      </c>
      <c r="L293" s="30">
        <f t="shared" si="137"/>
        <v>7765.4210000000003</v>
      </c>
      <c r="M293" s="30">
        <f t="shared" si="137"/>
        <v>4539.55</v>
      </c>
      <c r="N293" s="30">
        <f t="shared" si="137"/>
        <v>4409.55</v>
      </c>
      <c r="O293" s="30">
        <f t="shared" si="137"/>
        <v>4409.55</v>
      </c>
      <c r="P293" s="30">
        <f t="shared" si="137"/>
        <v>0</v>
      </c>
      <c r="Q293" s="30">
        <f>Q294</f>
        <v>0</v>
      </c>
    </row>
    <row r="294" spans="1:17" s="16" customFormat="1" ht="10.9" customHeight="1">
      <c r="A294" s="40"/>
      <c r="B294" s="18" t="s">
        <v>29</v>
      </c>
      <c r="C294" s="19"/>
      <c r="D294" s="20"/>
      <c r="E294" s="21"/>
      <c r="F294" s="22">
        <f t="shared" si="134"/>
        <v>368405.86900000001</v>
      </c>
      <c r="G294" s="23">
        <v>128527.04399999999</v>
      </c>
      <c r="H294" s="22">
        <f t="shared" si="135"/>
        <v>229558.93</v>
      </c>
      <c r="I294" s="22">
        <f t="shared" si="136"/>
        <v>138846.93899999998</v>
      </c>
      <c r="J294" s="22">
        <v>101031.886</v>
      </c>
      <c r="K294" s="22">
        <v>117722.868</v>
      </c>
      <c r="L294" s="22">
        <v>7765.4210000000003</v>
      </c>
      <c r="M294" s="22">
        <v>4539.55</v>
      </c>
      <c r="N294" s="22">
        <v>4409.55</v>
      </c>
      <c r="O294" s="22">
        <v>4409.55</v>
      </c>
      <c r="P294" s="22">
        <v>0</v>
      </c>
      <c r="Q294" s="22">
        <v>0</v>
      </c>
    </row>
    <row r="295" spans="1:17" s="16" customFormat="1" ht="10.9" customHeight="1">
      <c r="A295" s="40"/>
      <c r="B295" s="18" t="s">
        <v>41</v>
      </c>
      <c r="C295" s="19"/>
      <c r="D295" s="20"/>
      <c r="E295" s="21"/>
      <c r="F295" s="22">
        <f t="shared" si="134"/>
        <v>141978.52600000001</v>
      </c>
      <c r="G295" s="23">
        <v>45386.915999999997</v>
      </c>
      <c r="H295" s="22">
        <f t="shared" si="135"/>
        <v>116279.83899999999</v>
      </c>
      <c r="I295" s="22">
        <f t="shared" si="136"/>
        <v>25698.687000000002</v>
      </c>
      <c r="J295" s="22">
        <v>70892.922999999995</v>
      </c>
      <c r="K295" s="22">
        <v>25698.687000000002</v>
      </c>
      <c r="L295" s="22">
        <v>0</v>
      </c>
      <c r="M295" s="22">
        <v>0</v>
      </c>
      <c r="N295" s="22">
        <v>0</v>
      </c>
      <c r="O295" s="22">
        <v>0</v>
      </c>
      <c r="P295" s="22"/>
      <c r="Q295" s="22">
        <f>SUM(N295:N295)</f>
        <v>0</v>
      </c>
    </row>
    <row r="296" spans="1:17" s="16" customFormat="1" ht="21" customHeight="1">
      <c r="A296" s="59">
        <v>101</v>
      </c>
      <c r="B296" s="41" t="s">
        <v>253</v>
      </c>
      <c r="C296" s="27" t="s">
        <v>254</v>
      </c>
      <c r="D296" s="56" t="s">
        <v>204</v>
      </c>
      <c r="E296" s="29">
        <f>F297</f>
        <v>6270</v>
      </c>
      <c r="F296" s="30">
        <f t="shared" si="134"/>
        <v>6270</v>
      </c>
      <c r="G296" s="31">
        <f>G297</f>
        <v>0</v>
      </c>
      <c r="H296" s="31">
        <f t="shared" si="135"/>
        <v>0</v>
      </c>
      <c r="I296" s="30">
        <f t="shared" si="136"/>
        <v>6270</v>
      </c>
      <c r="J296" s="30">
        <f t="shared" ref="J296:Q296" si="138">J297</f>
        <v>0</v>
      </c>
      <c r="K296" s="30">
        <f t="shared" si="138"/>
        <v>550</v>
      </c>
      <c r="L296" s="30">
        <f t="shared" si="138"/>
        <v>5720</v>
      </c>
      <c r="M296" s="30">
        <f t="shared" si="138"/>
        <v>0</v>
      </c>
      <c r="N296" s="30">
        <f t="shared" si="138"/>
        <v>0</v>
      </c>
      <c r="O296" s="30">
        <f t="shared" si="138"/>
        <v>0</v>
      </c>
      <c r="P296" s="30">
        <f t="shared" si="138"/>
        <v>0</v>
      </c>
      <c r="Q296" s="30">
        <f t="shared" si="138"/>
        <v>0</v>
      </c>
    </row>
    <row r="297" spans="1:17" s="16" customFormat="1" ht="10.9" customHeight="1">
      <c r="A297" s="40"/>
      <c r="B297" s="18" t="s">
        <v>29</v>
      </c>
      <c r="C297" s="19"/>
      <c r="D297" s="20"/>
      <c r="E297" s="21"/>
      <c r="F297" s="22">
        <f t="shared" si="134"/>
        <v>6270</v>
      </c>
      <c r="G297" s="22">
        <v>0</v>
      </c>
      <c r="H297" s="22">
        <f t="shared" si="135"/>
        <v>0</v>
      </c>
      <c r="I297" s="22">
        <f t="shared" si="136"/>
        <v>6270</v>
      </c>
      <c r="J297" s="22">
        <v>0</v>
      </c>
      <c r="K297" s="22">
        <f>1000-450</f>
        <v>550</v>
      </c>
      <c r="L297" s="22">
        <f>4000+1270+450</f>
        <v>5720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</row>
    <row r="298" spans="1:17" s="16" customFormat="1" ht="47.25" customHeight="1">
      <c r="A298" s="25">
        <v>102</v>
      </c>
      <c r="B298" s="38" t="s">
        <v>255</v>
      </c>
      <c r="C298" s="27" t="s">
        <v>256</v>
      </c>
      <c r="D298" s="28" t="s">
        <v>77</v>
      </c>
      <c r="E298" s="29">
        <f>F299+F300</f>
        <v>38875.799999999996</v>
      </c>
      <c r="F298" s="30">
        <f t="shared" si="134"/>
        <v>38875.800000000003</v>
      </c>
      <c r="G298" s="31">
        <f>G299+G300</f>
        <v>0</v>
      </c>
      <c r="H298" s="31">
        <f t="shared" si="135"/>
        <v>142.13900000000001</v>
      </c>
      <c r="I298" s="30">
        <f t="shared" si="136"/>
        <v>38733.661</v>
      </c>
      <c r="J298" s="30">
        <f t="shared" ref="J298:Q298" si="139">J299+J300</f>
        <v>142.13900000000001</v>
      </c>
      <c r="K298" s="31">
        <f t="shared" si="139"/>
        <v>17495.302</v>
      </c>
      <c r="L298" s="31">
        <f t="shared" si="139"/>
        <v>21238.359</v>
      </c>
      <c r="M298" s="30">
        <f t="shared" si="139"/>
        <v>0</v>
      </c>
      <c r="N298" s="30">
        <f t="shared" si="139"/>
        <v>0</v>
      </c>
      <c r="O298" s="30">
        <f t="shared" si="139"/>
        <v>0</v>
      </c>
      <c r="P298" s="30">
        <f t="shared" si="139"/>
        <v>0</v>
      </c>
      <c r="Q298" s="30">
        <f t="shared" si="139"/>
        <v>0</v>
      </c>
    </row>
    <row r="299" spans="1:17" s="16" customFormat="1" ht="10.9" customHeight="1">
      <c r="A299" s="40"/>
      <c r="B299" s="18" t="s">
        <v>29</v>
      </c>
      <c r="C299" s="19"/>
      <c r="D299" s="20"/>
      <c r="E299" s="21"/>
      <c r="F299" s="22">
        <f t="shared" si="134"/>
        <v>23856.595999999998</v>
      </c>
      <c r="G299" s="22">
        <v>0</v>
      </c>
      <c r="H299" s="22">
        <f t="shared" si="135"/>
        <v>69.563000000000002</v>
      </c>
      <c r="I299" s="22">
        <f t="shared" si="136"/>
        <v>23787.032999999999</v>
      </c>
      <c r="J299" s="22">
        <v>69.563000000000002</v>
      </c>
      <c r="K299" s="22">
        <v>10252.832</v>
      </c>
      <c r="L299" s="22">
        <v>13534.200999999999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</row>
    <row r="300" spans="1:17" s="16" customFormat="1" ht="10.9" customHeight="1">
      <c r="A300" s="40"/>
      <c r="B300" s="18" t="s">
        <v>41</v>
      </c>
      <c r="C300" s="19"/>
      <c r="D300" s="20"/>
      <c r="E300" s="21"/>
      <c r="F300" s="22">
        <f t="shared" si="134"/>
        <v>15019.204</v>
      </c>
      <c r="G300" s="22">
        <v>0</v>
      </c>
      <c r="H300" s="22">
        <f t="shared" si="135"/>
        <v>72.575999999999993</v>
      </c>
      <c r="I300" s="22">
        <f t="shared" si="136"/>
        <v>14946.628000000001</v>
      </c>
      <c r="J300" s="22">
        <v>72.575999999999993</v>
      </c>
      <c r="K300" s="22">
        <v>7242.47</v>
      </c>
      <c r="L300" s="22">
        <v>7704.1580000000004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</row>
    <row r="301" spans="1:17" s="16" customFormat="1" ht="22.15" customHeight="1">
      <c r="A301" s="59">
        <v>103</v>
      </c>
      <c r="B301" s="41" t="s">
        <v>257</v>
      </c>
      <c r="C301" s="27" t="s">
        <v>258</v>
      </c>
      <c r="D301" s="56" t="s">
        <v>74</v>
      </c>
      <c r="E301" s="29">
        <f>F302</f>
        <v>5761</v>
      </c>
      <c r="F301" s="30">
        <f t="shared" si="134"/>
        <v>5761</v>
      </c>
      <c r="G301" s="31">
        <f>G302</f>
        <v>0</v>
      </c>
      <c r="H301" s="31">
        <f t="shared" si="135"/>
        <v>44.3</v>
      </c>
      <c r="I301" s="30">
        <f t="shared" si="136"/>
        <v>5716.7</v>
      </c>
      <c r="J301" s="30">
        <f t="shared" ref="J301:Q301" si="140">J302</f>
        <v>44.3</v>
      </c>
      <c r="K301" s="30">
        <f t="shared" si="140"/>
        <v>5716.7</v>
      </c>
      <c r="L301" s="30">
        <f t="shared" si="140"/>
        <v>0</v>
      </c>
      <c r="M301" s="30">
        <f t="shared" si="140"/>
        <v>0</v>
      </c>
      <c r="N301" s="30">
        <f t="shared" si="140"/>
        <v>0</v>
      </c>
      <c r="O301" s="30">
        <f t="shared" si="140"/>
        <v>0</v>
      </c>
      <c r="P301" s="30">
        <f t="shared" si="140"/>
        <v>0</v>
      </c>
      <c r="Q301" s="30">
        <f t="shared" si="140"/>
        <v>0</v>
      </c>
    </row>
    <row r="302" spans="1:17" s="16" customFormat="1" ht="10.9" customHeight="1">
      <c r="A302" s="40"/>
      <c r="B302" s="18" t="s">
        <v>29</v>
      </c>
      <c r="C302" s="19"/>
      <c r="D302" s="20"/>
      <c r="E302" s="21"/>
      <c r="F302" s="22">
        <f t="shared" si="134"/>
        <v>5761</v>
      </c>
      <c r="G302" s="22">
        <v>0</v>
      </c>
      <c r="H302" s="22">
        <f t="shared" si="135"/>
        <v>44.3</v>
      </c>
      <c r="I302" s="22">
        <f t="shared" si="136"/>
        <v>5716.7</v>
      </c>
      <c r="J302" s="22">
        <v>44.3</v>
      </c>
      <c r="K302" s="22">
        <v>5716.7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</row>
    <row r="303" spans="1:17" s="16" customFormat="1" ht="33.75">
      <c r="A303" s="59">
        <v>104</v>
      </c>
      <c r="B303" s="38" t="s">
        <v>259</v>
      </c>
      <c r="C303" s="27" t="s">
        <v>167</v>
      </c>
      <c r="D303" s="56" t="s">
        <v>71</v>
      </c>
      <c r="E303" s="29">
        <f>F304</f>
        <v>3674.7359999999999</v>
      </c>
      <c r="F303" s="30">
        <f>SUM(F304:F305)</f>
        <v>10205</v>
      </c>
      <c r="G303" s="30">
        <f t="shared" ref="G303:Q303" si="141">SUM(G304:G305)</f>
        <v>0</v>
      </c>
      <c r="H303" s="30">
        <f t="shared" si="141"/>
        <v>300</v>
      </c>
      <c r="I303" s="30">
        <f t="shared" si="141"/>
        <v>9905</v>
      </c>
      <c r="J303" s="30">
        <f t="shared" si="141"/>
        <v>300</v>
      </c>
      <c r="K303" s="30">
        <f t="shared" si="141"/>
        <v>4245</v>
      </c>
      <c r="L303" s="30">
        <f t="shared" si="141"/>
        <v>5660</v>
      </c>
      <c r="M303" s="30">
        <f t="shared" si="141"/>
        <v>0</v>
      </c>
      <c r="N303" s="30">
        <f t="shared" si="141"/>
        <v>0</v>
      </c>
      <c r="O303" s="30">
        <f t="shared" si="141"/>
        <v>0</v>
      </c>
      <c r="P303" s="30">
        <f t="shared" si="141"/>
        <v>0</v>
      </c>
      <c r="Q303" s="30">
        <f t="shared" si="141"/>
        <v>0</v>
      </c>
    </row>
    <row r="304" spans="1:17" s="16" customFormat="1" ht="11.45" customHeight="1">
      <c r="A304" s="40"/>
      <c r="B304" s="18" t="s">
        <v>29</v>
      </c>
      <c r="C304" s="19"/>
      <c r="D304" s="20"/>
      <c r="E304" s="21"/>
      <c r="F304" s="22">
        <f t="shared" si="134"/>
        <v>3674.7359999999999</v>
      </c>
      <c r="G304" s="22">
        <v>0</v>
      </c>
      <c r="H304" s="22">
        <f t="shared" si="135"/>
        <v>300</v>
      </c>
      <c r="I304" s="22">
        <f>SUM(K304:O304)</f>
        <v>3374.7359999999999</v>
      </c>
      <c r="J304" s="22">
        <v>300</v>
      </c>
      <c r="K304" s="22">
        <v>1626.1179999999999</v>
      </c>
      <c r="L304" s="22">
        <v>1748.6179999999999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</row>
    <row r="305" spans="1:17" s="16" customFormat="1" ht="11.45" customHeight="1">
      <c r="A305" s="40"/>
      <c r="B305" s="18" t="s">
        <v>41</v>
      </c>
      <c r="C305" s="19"/>
      <c r="D305" s="20"/>
      <c r="E305" s="21"/>
      <c r="F305" s="22">
        <f t="shared" si="134"/>
        <v>6530.2640000000001</v>
      </c>
      <c r="G305" s="22"/>
      <c r="H305" s="22"/>
      <c r="I305" s="22">
        <f>SUM(K305:O305)</f>
        <v>6530.2640000000001</v>
      </c>
      <c r="J305" s="22"/>
      <c r="K305" s="22">
        <v>2618.8820000000001</v>
      </c>
      <c r="L305" s="22">
        <v>3911.3820000000001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</row>
    <row r="306" spans="1:17" s="16" customFormat="1" ht="21" customHeight="1">
      <c r="A306" s="59">
        <v>105</v>
      </c>
      <c r="B306" s="41" t="s">
        <v>260</v>
      </c>
      <c r="C306" s="27" t="s">
        <v>261</v>
      </c>
      <c r="D306" s="56" t="s">
        <v>204</v>
      </c>
      <c r="E306" s="29">
        <f>F307</f>
        <v>2435</v>
      </c>
      <c r="F306" s="30">
        <f t="shared" si="134"/>
        <v>2435</v>
      </c>
      <c r="G306" s="31">
        <f>G307</f>
        <v>0</v>
      </c>
      <c r="H306" s="31">
        <f t="shared" si="135"/>
        <v>0</v>
      </c>
      <c r="I306" s="30">
        <f t="shared" ref="I306:I324" si="142">SUM(K306:O306)</f>
        <v>2435</v>
      </c>
      <c r="J306" s="30">
        <f t="shared" ref="J306:O306" si="143">J307</f>
        <v>0</v>
      </c>
      <c r="K306" s="30">
        <f t="shared" si="143"/>
        <v>1270.067</v>
      </c>
      <c r="L306" s="30">
        <f t="shared" si="143"/>
        <v>1164.933</v>
      </c>
      <c r="M306" s="30">
        <f t="shared" si="143"/>
        <v>0</v>
      </c>
      <c r="N306" s="30">
        <f t="shared" si="143"/>
        <v>0</v>
      </c>
      <c r="O306" s="30">
        <f t="shared" si="143"/>
        <v>0</v>
      </c>
      <c r="P306" s="30"/>
      <c r="Q306" s="30">
        <f>SUM(N306:N306)</f>
        <v>0</v>
      </c>
    </row>
    <row r="307" spans="1:17" s="16" customFormat="1" ht="11.45" customHeight="1">
      <c r="A307" s="40"/>
      <c r="B307" s="18" t="s">
        <v>29</v>
      </c>
      <c r="C307" s="19"/>
      <c r="D307" s="20"/>
      <c r="E307" s="21"/>
      <c r="F307" s="22">
        <f t="shared" si="134"/>
        <v>2435</v>
      </c>
      <c r="G307" s="22">
        <v>0</v>
      </c>
      <c r="H307" s="22">
        <f t="shared" si="135"/>
        <v>0</v>
      </c>
      <c r="I307" s="22">
        <f t="shared" si="142"/>
        <v>2435</v>
      </c>
      <c r="J307" s="22">
        <v>0</v>
      </c>
      <c r="K307" s="22">
        <f>2000-200-529.933</f>
        <v>1270.067</v>
      </c>
      <c r="L307" s="22">
        <f>2000+635-2000+529.933</f>
        <v>1164.933</v>
      </c>
      <c r="M307" s="22">
        <v>0</v>
      </c>
      <c r="N307" s="22">
        <v>0</v>
      </c>
      <c r="O307" s="22">
        <v>0</v>
      </c>
      <c r="P307" s="22"/>
      <c r="Q307" s="22">
        <f>SUM(N307:N307)</f>
        <v>0</v>
      </c>
    </row>
    <row r="308" spans="1:17" s="16" customFormat="1" ht="21" customHeight="1">
      <c r="A308" s="59">
        <v>106</v>
      </c>
      <c r="B308" s="41" t="s">
        <v>152</v>
      </c>
      <c r="C308" s="27" t="s">
        <v>174</v>
      </c>
      <c r="D308" s="56" t="s">
        <v>140</v>
      </c>
      <c r="E308" s="29">
        <f>F309</f>
        <v>500</v>
      </c>
      <c r="F308" s="30">
        <f t="shared" si="134"/>
        <v>500</v>
      </c>
      <c r="G308" s="31">
        <f>G309</f>
        <v>25.75</v>
      </c>
      <c r="H308" s="31">
        <f t="shared" si="135"/>
        <v>106.45</v>
      </c>
      <c r="I308" s="30">
        <f>SUM(K308:O308)</f>
        <v>393.55</v>
      </c>
      <c r="J308" s="30">
        <f>J309</f>
        <v>80.7</v>
      </c>
      <c r="K308" s="31">
        <f t="shared" ref="K308:Q308" si="144">K309</f>
        <v>393.55</v>
      </c>
      <c r="L308" s="30">
        <f t="shared" si="144"/>
        <v>0</v>
      </c>
      <c r="M308" s="30">
        <f t="shared" si="144"/>
        <v>0</v>
      </c>
      <c r="N308" s="30">
        <f t="shared" si="144"/>
        <v>0</v>
      </c>
      <c r="O308" s="30">
        <f t="shared" si="144"/>
        <v>0</v>
      </c>
      <c r="P308" s="30">
        <f t="shared" si="144"/>
        <v>0</v>
      </c>
      <c r="Q308" s="30">
        <f t="shared" si="144"/>
        <v>0</v>
      </c>
    </row>
    <row r="309" spans="1:17" s="16" customFormat="1" ht="11.45" customHeight="1">
      <c r="A309" s="40"/>
      <c r="B309" s="18" t="s">
        <v>29</v>
      </c>
      <c r="C309" s="19"/>
      <c r="D309" s="20"/>
      <c r="E309" s="21"/>
      <c r="F309" s="22">
        <f t="shared" si="134"/>
        <v>500</v>
      </c>
      <c r="G309" s="22">
        <v>25.75</v>
      </c>
      <c r="H309" s="22">
        <f t="shared" si="135"/>
        <v>106.45</v>
      </c>
      <c r="I309" s="22">
        <f t="shared" si="142"/>
        <v>393.55</v>
      </c>
      <c r="J309" s="22">
        <v>80.7</v>
      </c>
      <c r="K309" s="22">
        <v>393.55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</row>
    <row r="310" spans="1:17" s="16" customFormat="1" ht="33.6" customHeight="1">
      <c r="A310" s="59">
        <v>107</v>
      </c>
      <c r="B310" s="41" t="s">
        <v>262</v>
      </c>
      <c r="C310" s="27" t="s">
        <v>263</v>
      </c>
      <c r="D310" s="56" t="s">
        <v>264</v>
      </c>
      <c r="E310" s="29">
        <f>F311</f>
        <v>641.55899999999997</v>
      </c>
      <c r="F310" s="30">
        <f t="shared" si="134"/>
        <v>641.55899999999997</v>
      </c>
      <c r="G310" s="31">
        <f>G311</f>
        <v>0</v>
      </c>
      <c r="H310" s="31">
        <f t="shared" si="135"/>
        <v>0</v>
      </c>
      <c r="I310" s="30">
        <f t="shared" si="142"/>
        <v>641.55899999999997</v>
      </c>
      <c r="J310" s="30">
        <f t="shared" ref="J310:Q310" si="145">J311</f>
        <v>0</v>
      </c>
      <c r="K310" s="30">
        <f t="shared" si="145"/>
        <v>0</v>
      </c>
      <c r="L310" s="30">
        <f t="shared" si="145"/>
        <v>416.267</v>
      </c>
      <c r="M310" s="30">
        <f t="shared" si="145"/>
        <v>225.292</v>
      </c>
      <c r="N310" s="30">
        <f t="shared" si="145"/>
        <v>0</v>
      </c>
      <c r="O310" s="30">
        <f t="shared" si="145"/>
        <v>0</v>
      </c>
      <c r="P310" s="30">
        <f t="shared" si="145"/>
        <v>0</v>
      </c>
      <c r="Q310" s="30">
        <f t="shared" si="145"/>
        <v>0</v>
      </c>
    </row>
    <row r="311" spans="1:17" s="16" customFormat="1" ht="11.45" customHeight="1">
      <c r="A311" s="40"/>
      <c r="B311" s="18" t="s">
        <v>29</v>
      </c>
      <c r="C311" s="19"/>
      <c r="D311" s="20"/>
      <c r="E311" s="21"/>
      <c r="F311" s="22">
        <f t="shared" si="134"/>
        <v>641.55899999999997</v>
      </c>
      <c r="G311" s="22">
        <v>0</v>
      </c>
      <c r="H311" s="22">
        <f t="shared" si="135"/>
        <v>0</v>
      </c>
      <c r="I311" s="22">
        <f t="shared" si="142"/>
        <v>641.55899999999997</v>
      </c>
      <c r="J311" s="22">
        <v>0</v>
      </c>
      <c r="K311" s="22">
        <v>0</v>
      </c>
      <c r="L311" s="22">
        <v>416.267</v>
      </c>
      <c r="M311" s="22">
        <v>225.292</v>
      </c>
      <c r="N311" s="22">
        <v>0</v>
      </c>
      <c r="O311" s="22">
        <v>0</v>
      </c>
      <c r="P311" s="22">
        <v>0</v>
      </c>
      <c r="Q311" s="22">
        <v>0</v>
      </c>
    </row>
    <row r="312" spans="1:17" s="16" customFormat="1" ht="21.6" customHeight="1">
      <c r="A312" s="59">
        <v>108</v>
      </c>
      <c r="B312" s="41" t="s">
        <v>265</v>
      </c>
      <c r="C312" s="64" t="s">
        <v>266</v>
      </c>
      <c r="D312" s="56" t="s">
        <v>71</v>
      </c>
      <c r="E312" s="29">
        <f>F313</f>
        <v>11265.45</v>
      </c>
      <c r="F312" s="30">
        <f t="shared" si="134"/>
        <v>11265.45</v>
      </c>
      <c r="G312" s="31">
        <f>G313</f>
        <v>0</v>
      </c>
      <c r="H312" s="31">
        <f t="shared" si="135"/>
        <v>300</v>
      </c>
      <c r="I312" s="30">
        <f t="shared" ref="I312:I317" si="146">SUM(K312:O312)</f>
        <v>7365.45</v>
      </c>
      <c r="J312" s="30">
        <f t="shared" ref="J312:N314" si="147">J313</f>
        <v>300</v>
      </c>
      <c r="K312" s="30">
        <f t="shared" si="147"/>
        <v>0</v>
      </c>
      <c r="L312" s="30">
        <f t="shared" si="147"/>
        <v>1965.45</v>
      </c>
      <c r="M312" s="30">
        <f t="shared" si="147"/>
        <v>1800</v>
      </c>
      <c r="N312" s="30">
        <f t="shared" si="147"/>
        <v>1800</v>
      </c>
      <c r="O312" s="30">
        <f>N313</f>
        <v>1800</v>
      </c>
      <c r="P312" s="30">
        <f>O313</f>
        <v>1800</v>
      </c>
      <c r="Q312" s="30">
        <f>Q313</f>
        <v>3600</v>
      </c>
    </row>
    <row r="313" spans="1:17" s="16" customFormat="1" ht="11.45" customHeight="1">
      <c r="A313" s="40"/>
      <c r="B313" s="18" t="s">
        <v>29</v>
      </c>
      <c r="C313" s="19"/>
      <c r="D313" s="20"/>
      <c r="E313" s="21"/>
      <c r="F313" s="22">
        <f t="shared" si="134"/>
        <v>11265.45</v>
      </c>
      <c r="G313" s="22">
        <v>0</v>
      </c>
      <c r="H313" s="22">
        <f t="shared" si="135"/>
        <v>300</v>
      </c>
      <c r="I313" s="22">
        <f t="shared" si="146"/>
        <v>7365.45</v>
      </c>
      <c r="J313" s="22">
        <v>300</v>
      </c>
      <c r="K313" s="22">
        <v>0</v>
      </c>
      <c r="L313" s="24">
        <f>227+1310.45+428</f>
        <v>1965.45</v>
      </c>
      <c r="M313" s="22">
        <v>1800</v>
      </c>
      <c r="N313" s="22">
        <v>1800</v>
      </c>
      <c r="O313" s="22">
        <v>1800</v>
      </c>
      <c r="P313" s="22">
        <v>1800</v>
      </c>
      <c r="Q313" s="22">
        <v>3600</v>
      </c>
    </row>
    <row r="314" spans="1:17" s="16" customFormat="1" ht="25.5" customHeight="1">
      <c r="A314" s="59">
        <v>109</v>
      </c>
      <c r="B314" s="41" t="s">
        <v>267</v>
      </c>
      <c r="C314" s="27" t="s">
        <v>268</v>
      </c>
      <c r="D314" s="56" t="s">
        <v>62</v>
      </c>
      <c r="E314" s="29">
        <f>F315</f>
        <v>19300</v>
      </c>
      <c r="F314" s="30">
        <f>G314+I314+J314+Q314</f>
        <v>19300</v>
      </c>
      <c r="G314" s="31">
        <f>G315</f>
        <v>0</v>
      </c>
      <c r="H314" s="31">
        <f t="shared" si="135"/>
        <v>0</v>
      </c>
      <c r="I314" s="30">
        <f t="shared" si="146"/>
        <v>0</v>
      </c>
      <c r="J314" s="30">
        <f t="shared" si="147"/>
        <v>0</v>
      </c>
      <c r="K314" s="30">
        <f t="shared" si="147"/>
        <v>0</v>
      </c>
      <c r="L314" s="30">
        <f t="shared" si="147"/>
        <v>0</v>
      </c>
      <c r="M314" s="30">
        <f t="shared" si="147"/>
        <v>0</v>
      </c>
      <c r="N314" s="30">
        <f t="shared" si="147"/>
        <v>0</v>
      </c>
      <c r="O314" s="30">
        <f>N315</f>
        <v>0</v>
      </c>
      <c r="P314" s="30">
        <f>P315</f>
        <v>7000</v>
      </c>
      <c r="Q314" s="30">
        <f>Q315</f>
        <v>19300</v>
      </c>
    </row>
    <row r="315" spans="1:17" s="16" customFormat="1" ht="11.45" customHeight="1">
      <c r="A315" s="40"/>
      <c r="B315" s="18" t="s">
        <v>29</v>
      </c>
      <c r="C315" s="19"/>
      <c r="D315" s="20"/>
      <c r="E315" s="21"/>
      <c r="F315" s="22">
        <f>G315+I315+J315+Q315</f>
        <v>19300</v>
      </c>
      <c r="G315" s="22">
        <v>0</v>
      </c>
      <c r="H315" s="22">
        <v>9</v>
      </c>
      <c r="I315" s="22">
        <f t="shared" si="146"/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7000</v>
      </c>
      <c r="Q315" s="22">
        <v>19300</v>
      </c>
    </row>
    <row r="316" spans="1:17" s="16" customFormat="1" ht="26.25" customHeight="1">
      <c r="A316" s="59">
        <v>110</v>
      </c>
      <c r="B316" s="38" t="s">
        <v>269</v>
      </c>
      <c r="C316" s="27" t="s">
        <v>270</v>
      </c>
      <c r="D316" s="56" t="s">
        <v>176</v>
      </c>
      <c r="E316" s="29">
        <f>F317</f>
        <v>250</v>
      </c>
      <c r="F316" s="30">
        <f>G316+I316+J316+Q316</f>
        <v>250</v>
      </c>
      <c r="G316" s="31">
        <f>G317</f>
        <v>0</v>
      </c>
      <c r="H316" s="31">
        <f>G316+J316</f>
        <v>0</v>
      </c>
      <c r="I316" s="30">
        <f t="shared" si="146"/>
        <v>250</v>
      </c>
      <c r="J316" s="30">
        <f>J317</f>
        <v>0</v>
      </c>
      <c r="K316" s="30">
        <f t="shared" ref="K316:Q316" si="148">K317</f>
        <v>0</v>
      </c>
      <c r="L316" s="30">
        <f t="shared" si="148"/>
        <v>77.05</v>
      </c>
      <c r="M316" s="30">
        <f t="shared" si="148"/>
        <v>172.95</v>
      </c>
      <c r="N316" s="30">
        <f t="shared" si="148"/>
        <v>0</v>
      </c>
      <c r="O316" s="30">
        <f t="shared" si="148"/>
        <v>0</v>
      </c>
      <c r="P316" s="30">
        <f t="shared" si="148"/>
        <v>0</v>
      </c>
      <c r="Q316" s="30">
        <f t="shared" si="148"/>
        <v>0</v>
      </c>
    </row>
    <row r="317" spans="1:17" s="16" customFormat="1" ht="11.25">
      <c r="A317" s="40"/>
      <c r="B317" s="18" t="s">
        <v>29</v>
      </c>
      <c r="C317" s="19"/>
      <c r="D317" s="20"/>
      <c r="E317" s="21"/>
      <c r="F317" s="22">
        <f>G317+I317+J317+Q317</f>
        <v>250</v>
      </c>
      <c r="G317" s="22">
        <v>0</v>
      </c>
      <c r="H317" s="22">
        <f>G317+J317</f>
        <v>0</v>
      </c>
      <c r="I317" s="22">
        <f t="shared" si="146"/>
        <v>250</v>
      </c>
      <c r="J317" s="22">
        <v>0</v>
      </c>
      <c r="K317" s="22">
        <v>0</v>
      </c>
      <c r="L317" s="22">
        <v>77.05</v>
      </c>
      <c r="M317" s="22">
        <v>172.95</v>
      </c>
      <c r="N317" s="22">
        <v>0</v>
      </c>
      <c r="O317" s="22">
        <v>0</v>
      </c>
      <c r="P317" s="22">
        <v>0</v>
      </c>
      <c r="Q317" s="22">
        <v>0</v>
      </c>
    </row>
    <row r="318" spans="1:17" s="16" customFormat="1" ht="31.9" customHeight="1">
      <c r="A318" s="59">
        <v>111</v>
      </c>
      <c r="B318" s="38" t="s">
        <v>271</v>
      </c>
      <c r="C318" s="27" t="s">
        <v>167</v>
      </c>
      <c r="D318" s="56">
        <v>2018</v>
      </c>
      <c r="E318" s="29">
        <f>F319</f>
        <v>2706</v>
      </c>
      <c r="F318" s="30">
        <f t="shared" si="134"/>
        <v>13530</v>
      </c>
      <c r="G318" s="31">
        <f>G320</f>
        <v>0</v>
      </c>
      <c r="H318" s="31">
        <f t="shared" si="135"/>
        <v>0</v>
      </c>
      <c r="I318" s="30">
        <f t="shared" si="142"/>
        <v>13530</v>
      </c>
      <c r="J318" s="30">
        <f t="shared" ref="J318:Q318" si="149">J320</f>
        <v>0</v>
      </c>
      <c r="K318" s="30">
        <f t="shared" si="149"/>
        <v>0</v>
      </c>
      <c r="L318" s="30">
        <f>L320+L319</f>
        <v>0</v>
      </c>
      <c r="M318" s="30">
        <f t="shared" si="149"/>
        <v>0</v>
      </c>
      <c r="N318" s="30">
        <f>N320+N319</f>
        <v>13530</v>
      </c>
      <c r="O318" s="30">
        <f>O320+O319</f>
        <v>0</v>
      </c>
      <c r="P318" s="30">
        <f t="shared" si="149"/>
        <v>0</v>
      </c>
      <c r="Q318" s="30">
        <f t="shared" si="149"/>
        <v>0</v>
      </c>
    </row>
    <row r="319" spans="1:17" s="7" customFormat="1" ht="12" customHeight="1">
      <c r="A319" s="65"/>
      <c r="B319" s="18" t="s">
        <v>29</v>
      </c>
      <c r="C319" s="19"/>
      <c r="D319" s="66"/>
      <c r="E319" s="67"/>
      <c r="F319" s="22">
        <f t="shared" si="134"/>
        <v>2706</v>
      </c>
      <c r="G319" s="68">
        <v>0</v>
      </c>
      <c r="H319" s="68">
        <v>0</v>
      </c>
      <c r="I319" s="22">
        <f t="shared" si="142"/>
        <v>2706</v>
      </c>
      <c r="J319" s="49">
        <v>0</v>
      </c>
      <c r="K319" s="49">
        <v>0</v>
      </c>
      <c r="L319" s="68">
        <v>0</v>
      </c>
      <c r="M319" s="68">
        <v>0</v>
      </c>
      <c r="N319" s="22">
        <v>2706</v>
      </c>
      <c r="O319" s="22">
        <v>0</v>
      </c>
      <c r="P319" s="68">
        <v>0</v>
      </c>
      <c r="Q319" s="49">
        <v>0</v>
      </c>
    </row>
    <row r="320" spans="1:17" s="16" customFormat="1" ht="11.45" customHeight="1">
      <c r="A320" s="40"/>
      <c r="B320" s="18" t="s">
        <v>41</v>
      </c>
      <c r="C320" s="19"/>
      <c r="D320" s="20"/>
      <c r="E320" s="21"/>
      <c r="F320" s="22">
        <f t="shared" si="134"/>
        <v>10824</v>
      </c>
      <c r="G320" s="22">
        <v>0</v>
      </c>
      <c r="H320" s="22">
        <f t="shared" si="135"/>
        <v>0</v>
      </c>
      <c r="I320" s="22">
        <f t="shared" si="142"/>
        <v>10824</v>
      </c>
      <c r="J320" s="22">
        <v>0</v>
      </c>
      <c r="K320" s="22">
        <v>0</v>
      </c>
      <c r="L320" s="22">
        <v>0</v>
      </c>
      <c r="M320" s="22">
        <v>0</v>
      </c>
      <c r="N320" s="22">
        <v>10824</v>
      </c>
      <c r="O320" s="22">
        <v>0</v>
      </c>
      <c r="P320" s="22">
        <v>0</v>
      </c>
      <c r="Q320" s="22">
        <v>0</v>
      </c>
    </row>
    <row r="321" spans="1:17" s="16" customFormat="1" ht="31.9" customHeight="1">
      <c r="A321" s="59">
        <v>112</v>
      </c>
      <c r="B321" s="38" t="s">
        <v>272</v>
      </c>
      <c r="C321" s="27" t="s">
        <v>167</v>
      </c>
      <c r="D321" s="56">
        <v>2016</v>
      </c>
      <c r="E321" s="29">
        <f>F322</f>
        <v>2445</v>
      </c>
      <c r="F321" s="30">
        <f t="shared" si="134"/>
        <v>2445</v>
      </c>
      <c r="G321" s="31">
        <f>G322</f>
        <v>0</v>
      </c>
      <c r="H321" s="31">
        <f t="shared" si="135"/>
        <v>0</v>
      </c>
      <c r="I321" s="30">
        <f t="shared" si="142"/>
        <v>2445</v>
      </c>
      <c r="J321" s="30">
        <f t="shared" ref="J321:O321" si="150">J322</f>
        <v>0</v>
      </c>
      <c r="K321" s="30">
        <f t="shared" si="150"/>
        <v>0</v>
      </c>
      <c r="L321" s="30">
        <f t="shared" si="150"/>
        <v>2445</v>
      </c>
      <c r="M321" s="30">
        <f t="shared" si="150"/>
        <v>0</v>
      </c>
      <c r="N321" s="30">
        <f t="shared" si="150"/>
        <v>0</v>
      </c>
      <c r="O321" s="30">
        <f t="shared" si="150"/>
        <v>0</v>
      </c>
      <c r="P321" s="30">
        <f>P322</f>
        <v>0</v>
      </c>
      <c r="Q321" s="30">
        <f>Q322</f>
        <v>0</v>
      </c>
    </row>
    <row r="322" spans="1:17" s="16" customFormat="1" ht="11.45" customHeight="1">
      <c r="A322" s="40"/>
      <c r="B322" s="18" t="s">
        <v>29</v>
      </c>
      <c r="C322" s="19"/>
      <c r="D322" s="20"/>
      <c r="E322" s="21"/>
      <c r="F322" s="22">
        <f t="shared" si="134"/>
        <v>2445</v>
      </c>
      <c r="G322" s="22">
        <v>0</v>
      </c>
      <c r="H322" s="22">
        <f t="shared" si="135"/>
        <v>0</v>
      </c>
      <c r="I322" s="22">
        <f t="shared" si="142"/>
        <v>2445</v>
      </c>
      <c r="J322" s="22">
        <v>0</v>
      </c>
      <c r="K322" s="22">
        <v>0</v>
      </c>
      <c r="L322" s="22">
        <v>2445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</row>
    <row r="323" spans="1:17" s="16" customFormat="1" ht="21.6" customHeight="1">
      <c r="A323" s="59">
        <v>113</v>
      </c>
      <c r="B323" s="41" t="s">
        <v>273</v>
      </c>
      <c r="C323" s="27" t="s">
        <v>167</v>
      </c>
      <c r="D323" s="56" t="s">
        <v>165</v>
      </c>
      <c r="E323" s="29">
        <f>F324</f>
        <v>187000</v>
      </c>
      <c r="F323" s="30">
        <f t="shared" si="134"/>
        <v>187000</v>
      </c>
      <c r="G323" s="31">
        <f>G324</f>
        <v>0</v>
      </c>
      <c r="H323" s="31">
        <f t="shared" si="135"/>
        <v>0</v>
      </c>
      <c r="I323" s="30">
        <f t="shared" si="142"/>
        <v>0</v>
      </c>
      <c r="J323" s="30">
        <f t="shared" ref="J323:Q323" si="151">J324</f>
        <v>0</v>
      </c>
      <c r="K323" s="30">
        <f t="shared" si="151"/>
        <v>0</v>
      </c>
      <c r="L323" s="30">
        <f t="shared" si="151"/>
        <v>0</v>
      </c>
      <c r="M323" s="30">
        <f t="shared" si="151"/>
        <v>0</v>
      </c>
      <c r="N323" s="30">
        <f t="shared" si="151"/>
        <v>0</v>
      </c>
      <c r="O323" s="30">
        <f t="shared" si="151"/>
        <v>0</v>
      </c>
      <c r="P323" s="30">
        <f t="shared" si="151"/>
        <v>0</v>
      </c>
      <c r="Q323" s="30">
        <f t="shared" si="151"/>
        <v>187000</v>
      </c>
    </row>
    <row r="324" spans="1:17" s="16" customFormat="1" ht="11.45" customHeight="1">
      <c r="A324" s="40"/>
      <c r="B324" s="18" t="s">
        <v>29</v>
      </c>
      <c r="C324" s="19"/>
      <c r="D324" s="20"/>
      <c r="E324" s="21"/>
      <c r="F324" s="22">
        <f t="shared" si="134"/>
        <v>187000</v>
      </c>
      <c r="G324" s="22">
        <v>0</v>
      </c>
      <c r="H324" s="22">
        <f t="shared" si="135"/>
        <v>0</v>
      </c>
      <c r="I324" s="22">
        <f t="shared" si="142"/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187000</v>
      </c>
    </row>
    <row r="325" spans="1:17" s="7" customFormat="1" ht="17.25" customHeight="1">
      <c r="A325" s="108" t="s">
        <v>274</v>
      </c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10"/>
    </row>
    <row r="326" spans="1:17" s="16" customFormat="1" ht="21.6" customHeight="1">
      <c r="A326" s="25">
        <v>114</v>
      </c>
      <c r="B326" s="38" t="s">
        <v>275</v>
      </c>
      <c r="C326" s="27" t="s">
        <v>276</v>
      </c>
      <c r="D326" s="28" t="s">
        <v>149</v>
      </c>
      <c r="E326" s="29">
        <f>F326</f>
        <v>71171.487999999998</v>
      </c>
      <c r="F326" s="30">
        <f>G326+I326+J326+Q326</f>
        <v>71171.487999999998</v>
      </c>
      <c r="G326" s="31">
        <f>G327</f>
        <v>49887.487999999998</v>
      </c>
      <c r="H326" s="31">
        <f t="shared" ref="H326:H341" si="152">G326+J326</f>
        <v>50877.487999999998</v>
      </c>
      <c r="I326" s="30">
        <f t="shared" ref="I326:I341" si="153">SUM(K326:O326)</f>
        <v>16294</v>
      </c>
      <c r="J326" s="30">
        <f t="shared" ref="J326:Q326" si="154">SUM(J327)</f>
        <v>990</v>
      </c>
      <c r="K326" s="30">
        <f t="shared" si="154"/>
        <v>1311</v>
      </c>
      <c r="L326" s="30">
        <f t="shared" si="154"/>
        <v>4633</v>
      </c>
      <c r="M326" s="30">
        <f t="shared" si="154"/>
        <v>4100</v>
      </c>
      <c r="N326" s="30">
        <f t="shared" si="154"/>
        <v>3050</v>
      </c>
      <c r="O326" s="30">
        <f t="shared" si="154"/>
        <v>3200</v>
      </c>
      <c r="P326" s="30">
        <f t="shared" si="154"/>
        <v>4000</v>
      </c>
      <c r="Q326" s="30">
        <f t="shared" si="154"/>
        <v>4000</v>
      </c>
    </row>
    <row r="327" spans="1:17" s="16" customFormat="1" ht="11.45" customHeight="1">
      <c r="A327" s="40"/>
      <c r="B327" s="18" t="s">
        <v>29</v>
      </c>
      <c r="C327" s="19"/>
      <c r="D327" s="20"/>
      <c r="E327" s="21"/>
      <c r="F327" s="22">
        <f>G327+I327+J327+Q327</f>
        <v>71171.487999999998</v>
      </c>
      <c r="G327" s="23">
        <v>49887.487999999998</v>
      </c>
      <c r="H327" s="22">
        <f t="shared" si="152"/>
        <v>50877.487999999998</v>
      </c>
      <c r="I327" s="22">
        <f t="shared" si="153"/>
        <v>16294</v>
      </c>
      <c r="J327" s="22">
        <v>990</v>
      </c>
      <c r="K327" s="22">
        <v>1311</v>
      </c>
      <c r="L327" s="22">
        <f>3033+1600</f>
        <v>4633</v>
      </c>
      <c r="M327" s="22">
        <v>4100</v>
      </c>
      <c r="N327" s="22">
        <v>3050</v>
      </c>
      <c r="O327" s="22">
        <v>3200</v>
      </c>
      <c r="P327" s="22">
        <v>4000</v>
      </c>
      <c r="Q327" s="22">
        <v>4000</v>
      </c>
    </row>
    <row r="328" spans="1:17" s="16" customFormat="1" ht="23.45" customHeight="1">
      <c r="A328" s="25">
        <v>115</v>
      </c>
      <c r="B328" s="41" t="s">
        <v>277</v>
      </c>
      <c r="C328" s="27" t="s">
        <v>278</v>
      </c>
      <c r="D328" s="28" t="s">
        <v>84</v>
      </c>
      <c r="E328" s="29">
        <f>F328</f>
        <v>206964.89899999998</v>
      </c>
      <c r="F328" s="30">
        <f t="shared" ref="F328:F341" si="155">G328+I328+J328+Q328</f>
        <v>206964.89899999998</v>
      </c>
      <c r="G328" s="31">
        <f>G329+G330</f>
        <v>1921.9190000000001</v>
      </c>
      <c r="H328" s="31">
        <f t="shared" si="152"/>
        <v>3469.2110000000002</v>
      </c>
      <c r="I328" s="30">
        <f t="shared" si="153"/>
        <v>127814.68799999999</v>
      </c>
      <c r="J328" s="30">
        <f>SUM(J329:J330)</f>
        <v>1547.2919999999999</v>
      </c>
      <c r="K328" s="30">
        <f t="shared" ref="K328:P328" si="156">SUM(K329:K330)</f>
        <v>17719</v>
      </c>
      <c r="L328" s="30">
        <f t="shared" si="156"/>
        <v>46353</v>
      </c>
      <c r="M328" s="30">
        <f t="shared" si="156"/>
        <v>13200</v>
      </c>
      <c r="N328" s="30">
        <f t="shared" si="156"/>
        <v>25315.798999999999</v>
      </c>
      <c r="O328" s="30">
        <f t="shared" si="156"/>
        <v>25226.888999999999</v>
      </c>
      <c r="P328" s="30">
        <f t="shared" si="156"/>
        <v>25226.888999999999</v>
      </c>
      <c r="Q328" s="30">
        <f>SUM(Q329:Q330)</f>
        <v>75681</v>
      </c>
    </row>
    <row r="329" spans="1:17" s="16" customFormat="1" ht="11.45" customHeight="1">
      <c r="A329" s="40"/>
      <c r="B329" s="18" t="s">
        <v>29</v>
      </c>
      <c r="C329" s="19"/>
      <c r="D329" s="20"/>
      <c r="E329" s="21"/>
      <c r="F329" s="22">
        <f t="shared" si="155"/>
        <v>182614.89899999998</v>
      </c>
      <c r="G329" s="23">
        <v>1921.9190000000001</v>
      </c>
      <c r="H329" s="22">
        <f t="shared" si="152"/>
        <v>3469.2110000000002</v>
      </c>
      <c r="I329" s="22">
        <f t="shared" si="153"/>
        <v>103464.68799999999</v>
      </c>
      <c r="J329" s="22">
        <v>1547.2919999999999</v>
      </c>
      <c r="K329" s="22">
        <v>10719</v>
      </c>
      <c r="L329" s="22">
        <f>34353-700</f>
        <v>33653</v>
      </c>
      <c r="M329" s="22">
        <f>9300-750</f>
        <v>8550</v>
      </c>
      <c r="N329" s="22">
        <v>25315.798999999999</v>
      </c>
      <c r="O329" s="22">
        <v>25226.888999999999</v>
      </c>
      <c r="P329" s="22">
        <v>25226.888999999999</v>
      </c>
      <c r="Q329" s="22">
        <v>75681</v>
      </c>
    </row>
    <row r="330" spans="1:17" s="16" customFormat="1" ht="11.45" customHeight="1">
      <c r="A330" s="40"/>
      <c r="B330" s="18" t="s">
        <v>209</v>
      </c>
      <c r="C330" s="19"/>
      <c r="D330" s="20"/>
      <c r="E330" s="21"/>
      <c r="F330" s="22">
        <f t="shared" si="155"/>
        <v>24350</v>
      </c>
      <c r="G330" s="23">
        <v>0</v>
      </c>
      <c r="H330" s="22">
        <f t="shared" si="152"/>
        <v>0</v>
      </c>
      <c r="I330" s="22">
        <f t="shared" si="153"/>
        <v>24350</v>
      </c>
      <c r="J330" s="22">
        <v>0</v>
      </c>
      <c r="K330" s="22">
        <v>7000</v>
      </c>
      <c r="L330" s="22">
        <f>12000+700</f>
        <v>12700</v>
      </c>
      <c r="M330" s="22">
        <f>3900+750</f>
        <v>4650</v>
      </c>
      <c r="N330" s="22">
        <v>0</v>
      </c>
      <c r="O330" s="22">
        <v>0</v>
      </c>
      <c r="P330" s="22"/>
      <c r="Q330" s="22">
        <f>SUM(N330:N330)</f>
        <v>0</v>
      </c>
    </row>
    <row r="331" spans="1:17" s="16" customFormat="1" ht="39.75" customHeight="1">
      <c r="A331" s="59">
        <v>116</v>
      </c>
      <c r="B331" s="38" t="s">
        <v>279</v>
      </c>
      <c r="C331" s="27" t="s">
        <v>280</v>
      </c>
      <c r="D331" s="56" t="s">
        <v>94</v>
      </c>
      <c r="E331" s="29">
        <f>F332</f>
        <v>3566</v>
      </c>
      <c r="F331" s="30">
        <f t="shared" si="155"/>
        <v>3566</v>
      </c>
      <c r="G331" s="31">
        <f>G332</f>
        <v>0</v>
      </c>
      <c r="H331" s="31">
        <f t="shared" si="152"/>
        <v>0</v>
      </c>
      <c r="I331" s="30">
        <f t="shared" si="153"/>
        <v>3566</v>
      </c>
      <c r="J331" s="30">
        <f t="shared" ref="J331:Q331" si="157">J332</f>
        <v>0</v>
      </c>
      <c r="K331" s="30">
        <f t="shared" si="157"/>
        <v>116</v>
      </c>
      <c r="L331" s="30">
        <f t="shared" si="157"/>
        <v>300</v>
      </c>
      <c r="M331" s="30">
        <f t="shared" si="157"/>
        <v>0</v>
      </c>
      <c r="N331" s="30">
        <f t="shared" si="157"/>
        <v>0</v>
      </c>
      <c r="O331" s="30">
        <f t="shared" si="157"/>
        <v>3150</v>
      </c>
      <c r="P331" s="30">
        <f t="shared" si="157"/>
        <v>0</v>
      </c>
      <c r="Q331" s="30">
        <f t="shared" si="157"/>
        <v>0</v>
      </c>
    </row>
    <row r="332" spans="1:17" s="16" customFormat="1" ht="10.9" customHeight="1">
      <c r="A332" s="40"/>
      <c r="B332" s="18" t="s">
        <v>29</v>
      </c>
      <c r="C332" s="19"/>
      <c r="D332" s="20"/>
      <c r="E332" s="21"/>
      <c r="F332" s="22">
        <f t="shared" si="155"/>
        <v>3566</v>
      </c>
      <c r="G332" s="22">
        <v>0</v>
      </c>
      <c r="H332" s="22">
        <f t="shared" si="152"/>
        <v>0</v>
      </c>
      <c r="I332" s="22">
        <f t="shared" si="153"/>
        <v>3566</v>
      </c>
      <c r="J332" s="22">
        <v>0</v>
      </c>
      <c r="K332" s="22">
        <f>116</f>
        <v>116</v>
      </c>
      <c r="L332" s="22">
        <v>300</v>
      </c>
      <c r="M332" s="22">
        <f>3450-3450</f>
        <v>0</v>
      </c>
      <c r="N332" s="22">
        <v>0</v>
      </c>
      <c r="O332" s="22">
        <v>3150</v>
      </c>
      <c r="P332" s="22">
        <v>0</v>
      </c>
      <c r="Q332" s="22">
        <v>0</v>
      </c>
    </row>
    <row r="333" spans="1:17" s="16" customFormat="1" ht="21.6" customHeight="1">
      <c r="A333" s="25">
        <v>117</v>
      </c>
      <c r="B333" s="38" t="s">
        <v>281</v>
      </c>
      <c r="C333" s="27" t="s">
        <v>309</v>
      </c>
      <c r="D333" s="28" t="s">
        <v>144</v>
      </c>
      <c r="E333" s="29">
        <f>F333</f>
        <v>17140</v>
      </c>
      <c r="F333" s="30">
        <f t="shared" si="155"/>
        <v>17140</v>
      </c>
      <c r="G333" s="31">
        <f>G334</f>
        <v>0</v>
      </c>
      <c r="H333" s="31">
        <f t="shared" si="152"/>
        <v>0</v>
      </c>
      <c r="I333" s="30">
        <f t="shared" si="153"/>
        <v>12640</v>
      </c>
      <c r="J333" s="30">
        <f t="shared" ref="J333:P333" si="158">SUM(J334)</f>
        <v>0</v>
      </c>
      <c r="K333" s="30">
        <f t="shared" si="158"/>
        <v>3000</v>
      </c>
      <c r="L333" s="30">
        <f>L334+L335</f>
        <v>1800</v>
      </c>
      <c r="M333" s="30">
        <f t="shared" si="158"/>
        <v>4120</v>
      </c>
      <c r="N333" s="30">
        <f t="shared" si="158"/>
        <v>1500</v>
      </c>
      <c r="O333" s="30">
        <f t="shared" si="158"/>
        <v>2220</v>
      </c>
      <c r="P333" s="30">
        <f t="shared" si="158"/>
        <v>4500</v>
      </c>
      <c r="Q333" s="30">
        <f>SUM(Q334)</f>
        <v>4500</v>
      </c>
    </row>
    <row r="334" spans="1:17" s="16" customFormat="1" ht="16.5" customHeight="1">
      <c r="A334" s="40"/>
      <c r="B334" s="18" t="s">
        <v>29</v>
      </c>
      <c r="C334" s="19"/>
      <c r="D334" s="20"/>
      <c r="E334" s="21"/>
      <c r="F334" s="22">
        <f t="shared" si="155"/>
        <v>16516.900000000001</v>
      </c>
      <c r="G334" s="23">
        <v>0</v>
      </c>
      <c r="H334" s="22">
        <f t="shared" si="152"/>
        <v>0</v>
      </c>
      <c r="I334" s="22">
        <f t="shared" si="153"/>
        <v>12016.9</v>
      </c>
      <c r="J334" s="22">
        <v>0</v>
      </c>
      <c r="K334" s="22">
        <v>3000</v>
      </c>
      <c r="L334" s="24">
        <f>1080-623.1+900-300+120</f>
        <v>1176.9000000000001</v>
      </c>
      <c r="M334" s="22">
        <v>4120</v>
      </c>
      <c r="N334" s="22">
        <v>1500</v>
      </c>
      <c r="O334" s="22">
        <v>2220</v>
      </c>
      <c r="P334" s="22">
        <v>4500</v>
      </c>
      <c r="Q334" s="22">
        <v>4500</v>
      </c>
    </row>
    <row r="335" spans="1:17" s="16" customFormat="1" ht="12" customHeight="1">
      <c r="A335" s="40"/>
      <c r="B335" s="18" t="s">
        <v>209</v>
      </c>
      <c r="C335" s="19"/>
      <c r="D335" s="20"/>
      <c r="E335" s="21"/>
      <c r="F335" s="22">
        <f t="shared" si="155"/>
        <v>623.1</v>
      </c>
      <c r="G335" s="23">
        <v>0</v>
      </c>
      <c r="H335" s="22">
        <f t="shared" si="152"/>
        <v>0</v>
      </c>
      <c r="I335" s="22">
        <f>SUM(K335:O335)</f>
        <v>623.1</v>
      </c>
      <c r="J335" s="22">
        <v>0</v>
      </c>
      <c r="K335" s="22">
        <v>0</v>
      </c>
      <c r="L335" s="22">
        <v>623.1</v>
      </c>
      <c r="M335" s="22">
        <v>0</v>
      </c>
      <c r="N335" s="22">
        <v>0</v>
      </c>
      <c r="O335" s="22">
        <v>0</v>
      </c>
      <c r="P335" s="22"/>
      <c r="Q335" s="22">
        <f>SUM(N335:N335)</f>
        <v>0</v>
      </c>
    </row>
    <row r="336" spans="1:17" s="16" customFormat="1" ht="21" customHeight="1">
      <c r="A336" s="59">
        <v>118</v>
      </c>
      <c r="B336" s="41" t="s">
        <v>152</v>
      </c>
      <c r="C336" s="27" t="s">
        <v>174</v>
      </c>
      <c r="D336" s="56">
        <v>2015</v>
      </c>
      <c r="E336" s="29">
        <f>F337</f>
        <v>8580</v>
      </c>
      <c r="F336" s="30">
        <f t="shared" si="155"/>
        <v>8580</v>
      </c>
      <c r="G336" s="31">
        <f>G337</f>
        <v>0</v>
      </c>
      <c r="H336" s="31">
        <f t="shared" si="152"/>
        <v>0</v>
      </c>
      <c r="I336" s="30">
        <f>SUM(K336:O336)</f>
        <v>8580</v>
      </c>
      <c r="J336" s="30">
        <f>J337</f>
        <v>0</v>
      </c>
      <c r="K336" s="31">
        <f t="shared" ref="K336:Q336" si="159">K337</f>
        <v>0</v>
      </c>
      <c r="L336" s="30">
        <f t="shared" si="159"/>
        <v>8580</v>
      </c>
      <c r="M336" s="30">
        <f t="shared" si="159"/>
        <v>0</v>
      </c>
      <c r="N336" s="30">
        <f t="shared" si="159"/>
        <v>0</v>
      </c>
      <c r="O336" s="30">
        <f t="shared" si="159"/>
        <v>0</v>
      </c>
      <c r="P336" s="30">
        <f t="shared" si="159"/>
        <v>0</v>
      </c>
      <c r="Q336" s="30">
        <f t="shared" si="159"/>
        <v>0</v>
      </c>
    </row>
    <row r="337" spans="1:17" s="16" customFormat="1" ht="11.45" customHeight="1">
      <c r="A337" s="40"/>
      <c r="B337" s="18" t="s">
        <v>29</v>
      </c>
      <c r="C337" s="19"/>
      <c r="D337" s="20"/>
      <c r="E337" s="21"/>
      <c r="F337" s="22">
        <f t="shared" si="155"/>
        <v>8580</v>
      </c>
      <c r="G337" s="22">
        <v>0</v>
      </c>
      <c r="H337" s="22">
        <v>0</v>
      </c>
      <c r="I337" s="22">
        <f>SUM(K337:O337)</f>
        <v>8580</v>
      </c>
      <c r="J337" s="22">
        <v>0</v>
      </c>
      <c r="K337" s="22">
        <v>0</v>
      </c>
      <c r="L337" s="22">
        <v>8580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</row>
    <row r="338" spans="1:17" s="16" customFormat="1" ht="24" customHeight="1">
      <c r="A338" s="25">
        <v>119</v>
      </c>
      <c r="B338" s="41" t="s">
        <v>282</v>
      </c>
      <c r="C338" s="27" t="s">
        <v>283</v>
      </c>
      <c r="D338" s="28" t="s">
        <v>94</v>
      </c>
      <c r="E338" s="29">
        <f>F338</f>
        <v>45201.021000000001</v>
      </c>
      <c r="F338" s="30">
        <f>G338+I338+J338+Q338</f>
        <v>45201.021000000001</v>
      </c>
      <c r="G338" s="31">
        <f>G339+G341</f>
        <v>0</v>
      </c>
      <c r="H338" s="31">
        <f t="shared" si="152"/>
        <v>0</v>
      </c>
      <c r="I338" s="30">
        <f>SUM(K338:O338)</f>
        <v>45201.021000000001</v>
      </c>
      <c r="J338" s="30">
        <f>SUM(J339:J339)</f>
        <v>0</v>
      </c>
      <c r="K338" s="30">
        <f t="shared" ref="K338:P338" si="160">SUM(K339:K341)</f>
        <v>875</v>
      </c>
      <c r="L338" s="30">
        <f t="shared" si="160"/>
        <v>1500.229</v>
      </c>
      <c r="M338" s="30">
        <f t="shared" si="160"/>
        <v>1915.7919999999999</v>
      </c>
      <c r="N338" s="30">
        <f t="shared" si="160"/>
        <v>11300</v>
      </c>
      <c r="O338" s="30">
        <f t="shared" si="160"/>
        <v>29610</v>
      </c>
      <c r="P338" s="30">
        <f t="shared" si="160"/>
        <v>0</v>
      </c>
      <c r="Q338" s="30">
        <f>SUM(Q339:Q341)</f>
        <v>0</v>
      </c>
    </row>
    <row r="339" spans="1:17" s="16" customFormat="1" ht="10.9" customHeight="1">
      <c r="A339" s="40"/>
      <c r="B339" s="18" t="s">
        <v>29</v>
      </c>
      <c r="C339" s="19"/>
      <c r="D339" s="20"/>
      <c r="E339" s="21"/>
      <c r="F339" s="22">
        <f t="shared" si="155"/>
        <v>17030.038</v>
      </c>
      <c r="G339" s="23">
        <v>0</v>
      </c>
      <c r="H339" s="22">
        <f t="shared" si="152"/>
        <v>0</v>
      </c>
      <c r="I339" s="22">
        <f t="shared" si="153"/>
        <v>17030.038</v>
      </c>
      <c r="J339" s="22">
        <v>0</v>
      </c>
      <c r="K339" s="22">
        <v>875</v>
      </c>
      <c r="L339" s="22">
        <v>1421.5060000000001</v>
      </c>
      <c r="M339" s="22">
        <v>944.53200000000004</v>
      </c>
      <c r="N339" s="22">
        <v>3565</v>
      </c>
      <c r="O339" s="22">
        <v>10224</v>
      </c>
      <c r="P339" s="22">
        <v>0</v>
      </c>
      <c r="Q339" s="22">
        <v>0</v>
      </c>
    </row>
    <row r="340" spans="1:17" s="16" customFormat="1" ht="10.9" customHeight="1">
      <c r="A340" s="40"/>
      <c r="B340" s="18" t="s">
        <v>284</v>
      </c>
      <c r="C340" s="19"/>
      <c r="D340" s="20"/>
      <c r="E340" s="21"/>
      <c r="F340" s="22">
        <f t="shared" si="155"/>
        <v>1049.9829999999999</v>
      </c>
      <c r="G340" s="23"/>
      <c r="H340" s="22"/>
      <c r="I340" s="22">
        <f t="shared" si="153"/>
        <v>1049.9829999999999</v>
      </c>
      <c r="J340" s="22"/>
      <c r="K340" s="22">
        <v>0</v>
      </c>
      <c r="L340" s="22">
        <v>78.722999999999999</v>
      </c>
      <c r="M340" s="22">
        <v>971.26</v>
      </c>
      <c r="N340" s="22">
        <v>0</v>
      </c>
      <c r="O340" s="22">
        <v>0</v>
      </c>
      <c r="P340" s="22">
        <v>0</v>
      </c>
      <c r="Q340" s="22">
        <v>0</v>
      </c>
    </row>
    <row r="341" spans="1:17" s="16" customFormat="1" ht="10.9" customHeight="1">
      <c r="A341" s="40"/>
      <c r="B341" s="18" t="s">
        <v>41</v>
      </c>
      <c r="C341" s="19"/>
      <c r="D341" s="20"/>
      <c r="E341" s="21"/>
      <c r="F341" s="22">
        <f t="shared" si="155"/>
        <v>27121</v>
      </c>
      <c r="G341" s="23">
        <v>0</v>
      </c>
      <c r="H341" s="22">
        <f t="shared" si="152"/>
        <v>0</v>
      </c>
      <c r="I341" s="22">
        <f t="shared" si="153"/>
        <v>27121</v>
      </c>
      <c r="J341" s="22">
        <v>0</v>
      </c>
      <c r="K341" s="22">
        <v>0</v>
      </c>
      <c r="L341" s="22">
        <v>0</v>
      </c>
      <c r="M341" s="22">
        <v>0</v>
      </c>
      <c r="N341" s="22">
        <v>7735</v>
      </c>
      <c r="O341" s="22">
        <v>19386</v>
      </c>
      <c r="P341" s="22">
        <v>0</v>
      </c>
      <c r="Q341" s="22">
        <v>0</v>
      </c>
    </row>
    <row r="342" spans="1:17" s="16" customFormat="1" ht="10.9" customHeight="1">
      <c r="A342" s="69"/>
      <c r="B342" s="70"/>
      <c r="C342" s="71"/>
      <c r="D342" s="72"/>
      <c r="E342" s="73"/>
      <c r="F342" s="74"/>
      <c r="G342" s="75"/>
      <c r="H342" s="74"/>
      <c r="I342" s="74"/>
      <c r="J342" s="74"/>
      <c r="K342" s="74"/>
      <c r="L342" s="74"/>
      <c r="M342" s="74"/>
      <c r="N342" s="74"/>
      <c r="O342" s="74"/>
      <c r="P342" s="74"/>
      <c r="Q342" s="76"/>
    </row>
    <row r="343" spans="1:17" s="77" customFormat="1" ht="22.15" customHeight="1">
      <c r="A343" s="114" t="s">
        <v>285</v>
      </c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6"/>
    </row>
    <row r="344" spans="1:17" s="77" customFormat="1" ht="12" customHeight="1">
      <c r="A344" s="78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80"/>
    </row>
    <row r="345" spans="1:17" s="77" customFormat="1" ht="12" customHeight="1">
      <c r="A345" s="78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80"/>
    </row>
    <row r="346" spans="1:17" s="84" customFormat="1" ht="11.45" customHeight="1">
      <c r="A346" s="81"/>
      <c r="B346" s="82" t="s">
        <v>286</v>
      </c>
      <c r="C346" s="81"/>
      <c r="D346" s="81"/>
      <c r="E346" s="81"/>
      <c r="F346" s="83">
        <f t="shared" ref="F346:Q351" si="161">F352+F358+F364+F370+F376+F382+F388+F394+F400+F406+F412+F418</f>
        <v>9562333.9940000009</v>
      </c>
      <c r="G346" s="83">
        <f t="shared" si="161"/>
        <v>4161725.97</v>
      </c>
      <c r="H346" s="83">
        <f t="shared" si="161"/>
        <v>4781205.2429999998</v>
      </c>
      <c r="I346" s="83">
        <f t="shared" si="161"/>
        <v>3411500.9260000004</v>
      </c>
      <c r="J346" s="83">
        <f t="shared" si="161"/>
        <v>612911.68499999994</v>
      </c>
      <c r="K346" s="83">
        <f t="shared" si="161"/>
        <v>749400.29200000002</v>
      </c>
      <c r="L346" s="83">
        <f t="shared" si="161"/>
        <v>611928.3060000001</v>
      </c>
      <c r="M346" s="83">
        <f t="shared" si="161"/>
        <v>574950.38300000003</v>
      </c>
      <c r="N346" s="83">
        <f t="shared" si="161"/>
        <v>708963.75800000003</v>
      </c>
      <c r="O346" s="83">
        <f t="shared" si="161"/>
        <v>766258.18700000003</v>
      </c>
      <c r="P346" s="83">
        <f t="shared" si="161"/>
        <v>622651.13800000004</v>
      </c>
      <c r="Q346" s="83">
        <f t="shared" si="161"/>
        <v>1376195.4130000002</v>
      </c>
    </row>
    <row r="347" spans="1:17" s="84" customFormat="1" ht="11.45" customHeight="1">
      <c r="A347" s="50"/>
      <c r="B347" s="18" t="s">
        <v>29</v>
      </c>
      <c r="C347" s="50"/>
      <c r="D347" s="50"/>
      <c r="E347" s="50">
        <f>E353+E359+E365+E371+E377+E383+E389+E395+E401+E407+E413+E419</f>
        <v>0</v>
      </c>
      <c r="F347" s="54">
        <f t="shared" si="161"/>
        <v>6376490.692400001</v>
      </c>
      <c r="G347" s="54">
        <f t="shared" si="161"/>
        <v>2534614.4169999999</v>
      </c>
      <c r="H347" s="54">
        <f t="shared" si="161"/>
        <v>2887065.1709999996</v>
      </c>
      <c r="I347" s="54">
        <f t="shared" si="161"/>
        <v>2342123.3044000003</v>
      </c>
      <c r="J347" s="54">
        <f t="shared" si="161"/>
        <v>352441.75400000002</v>
      </c>
      <c r="K347" s="54">
        <f t="shared" si="161"/>
        <v>537576.21299999999</v>
      </c>
      <c r="L347" s="54">
        <f t="shared" si="161"/>
        <v>435185.99200000009</v>
      </c>
      <c r="M347" s="54">
        <f t="shared" si="161"/>
        <v>406106.78200000001</v>
      </c>
      <c r="N347" s="54">
        <f t="shared" si="161"/>
        <v>434932.2194</v>
      </c>
      <c r="O347" s="54">
        <f>O353+O359+O365+O371+O377+O383+O389+O395+O401+O407+O413+O419</f>
        <v>528322.098</v>
      </c>
      <c r="P347" s="54">
        <f t="shared" si="161"/>
        <v>396866.94200000004</v>
      </c>
      <c r="Q347" s="54">
        <f t="shared" si="161"/>
        <v>1147311.2170000002</v>
      </c>
    </row>
    <row r="348" spans="1:17" s="84" customFormat="1" ht="11.45" customHeight="1">
      <c r="A348" s="50"/>
      <c r="B348" s="18" t="s">
        <v>41</v>
      </c>
      <c r="C348" s="50"/>
      <c r="D348" s="50"/>
      <c r="E348" s="50">
        <f>E354+E360+E366+E372+E378+E384+E390+E396+E402+E408+E414+E420</f>
        <v>0</v>
      </c>
      <c r="F348" s="54">
        <f t="shared" si="161"/>
        <v>1817488.2126000002</v>
      </c>
      <c r="G348" s="54">
        <f t="shared" si="161"/>
        <v>573374.40999999992</v>
      </c>
      <c r="H348" s="54">
        <f t="shared" si="161"/>
        <v>701263.4580000001</v>
      </c>
      <c r="I348" s="54">
        <f t="shared" si="161"/>
        <v>892752.91360000009</v>
      </c>
      <c r="J348" s="54">
        <f t="shared" si="161"/>
        <v>127889.04800000001</v>
      </c>
      <c r="K348" s="54">
        <f t="shared" si="161"/>
        <v>133124.421</v>
      </c>
      <c r="L348" s="54">
        <f t="shared" si="161"/>
        <v>129255.524</v>
      </c>
      <c r="M348" s="54">
        <f t="shared" si="161"/>
        <v>141332.34100000001</v>
      </c>
      <c r="N348" s="54">
        <f t="shared" si="161"/>
        <v>255104.53860000003</v>
      </c>
      <c r="O348" s="54">
        <f>O354+O360+O366+O372+O378+O384+O390+O396+O402+O408+O414+O420</f>
        <v>233936.08900000001</v>
      </c>
      <c r="P348" s="54">
        <f t="shared" si="161"/>
        <v>223471.84100000001</v>
      </c>
      <c r="Q348" s="54">
        <f t="shared" si="161"/>
        <v>223471.84100000001</v>
      </c>
    </row>
    <row r="349" spans="1:17" s="84" customFormat="1" ht="11.45" customHeight="1">
      <c r="A349" s="50"/>
      <c r="B349" s="18" t="s">
        <v>209</v>
      </c>
      <c r="C349" s="50"/>
      <c r="D349" s="50"/>
      <c r="E349" s="50">
        <f>E355+E361+E367+E373+E379+E385+E391+E397+E403+E409+E415+E421</f>
        <v>0</v>
      </c>
      <c r="F349" s="54">
        <f t="shared" si="161"/>
        <v>30023.32</v>
      </c>
      <c r="G349" s="54">
        <f t="shared" si="161"/>
        <v>5050.22</v>
      </c>
      <c r="H349" s="54">
        <f t="shared" si="161"/>
        <v>5050.22</v>
      </c>
      <c r="I349" s="54">
        <f t="shared" si="161"/>
        <v>24973.1</v>
      </c>
      <c r="J349" s="54">
        <f t="shared" si="161"/>
        <v>0</v>
      </c>
      <c r="K349" s="54">
        <f t="shared" si="161"/>
        <v>7000</v>
      </c>
      <c r="L349" s="54">
        <f t="shared" si="161"/>
        <v>13323.1</v>
      </c>
      <c r="M349" s="54">
        <f t="shared" si="161"/>
        <v>4650</v>
      </c>
      <c r="N349" s="54">
        <f t="shared" si="161"/>
        <v>0</v>
      </c>
      <c r="O349" s="54">
        <f t="shared" si="161"/>
        <v>0</v>
      </c>
      <c r="P349" s="54"/>
      <c r="Q349" s="54">
        <f t="shared" si="161"/>
        <v>0</v>
      </c>
    </row>
    <row r="350" spans="1:17" s="84" customFormat="1" ht="11.45" customHeight="1">
      <c r="A350" s="50"/>
      <c r="B350" s="18" t="s">
        <v>133</v>
      </c>
      <c r="C350" s="50"/>
      <c r="D350" s="50"/>
      <c r="E350" s="50">
        <f>E356+E362+E368+E374+E380+E386+E392+E398+E404+E410+E416+E422</f>
        <v>0</v>
      </c>
      <c r="F350" s="54">
        <f t="shared" si="161"/>
        <v>67320.84599999999</v>
      </c>
      <c r="G350" s="54">
        <f t="shared" si="161"/>
        <v>11071</v>
      </c>
      <c r="H350" s="54">
        <f t="shared" si="161"/>
        <v>14702.351000000001</v>
      </c>
      <c r="I350" s="54">
        <f t="shared" si="161"/>
        <v>52618.495000000003</v>
      </c>
      <c r="J350" s="54">
        <f t="shared" si="161"/>
        <v>3631.3510000000001</v>
      </c>
      <c r="K350" s="54">
        <f t="shared" si="161"/>
        <v>20669.572</v>
      </c>
      <c r="L350" s="54">
        <f t="shared" si="161"/>
        <v>16577.663000000004</v>
      </c>
      <c r="M350" s="54">
        <f t="shared" si="161"/>
        <v>10871.26</v>
      </c>
      <c r="N350" s="54">
        <f t="shared" si="161"/>
        <v>4500</v>
      </c>
      <c r="O350" s="54">
        <f t="shared" si="161"/>
        <v>0</v>
      </c>
      <c r="P350" s="54"/>
      <c r="Q350" s="54">
        <f t="shared" si="161"/>
        <v>0</v>
      </c>
    </row>
    <row r="351" spans="1:17" s="84" customFormat="1" ht="11.45" customHeight="1">
      <c r="A351" s="50"/>
      <c r="B351" s="18" t="s">
        <v>37</v>
      </c>
      <c r="C351" s="50"/>
      <c r="D351" s="50"/>
      <c r="E351" s="50">
        <f>E357+E363+E369+E375+E381+E387+E393+E399+E405+E411+E417+E423</f>
        <v>0</v>
      </c>
      <c r="F351" s="54">
        <f t="shared" si="161"/>
        <v>1271010.923</v>
      </c>
      <c r="G351" s="54">
        <f t="shared" si="161"/>
        <v>1037615.923</v>
      </c>
      <c r="H351" s="54">
        <f t="shared" si="161"/>
        <v>1173124.0430000001</v>
      </c>
      <c r="I351" s="54">
        <f t="shared" si="161"/>
        <v>99033.112999999998</v>
      </c>
      <c r="J351" s="54">
        <f t="shared" si="161"/>
        <v>128949.53200000001</v>
      </c>
      <c r="K351" s="54">
        <f t="shared" si="161"/>
        <v>51030.086000000003</v>
      </c>
      <c r="L351" s="54">
        <f t="shared" si="161"/>
        <v>17586.027000000002</v>
      </c>
      <c r="M351" s="54">
        <f t="shared" si="161"/>
        <v>11990</v>
      </c>
      <c r="N351" s="54">
        <f t="shared" si="161"/>
        <v>14427</v>
      </c>
      <c r="O351" s="54">
        <f t="shared" si="161"/>
        <v>4000</v>
      </c>
      <c r="P351" s="54">
        <f t="shared" si="161"/>
        <v>2312.355</v>
      </c>
      <c r="Q351" s="54">
        <f>Q357+Q363+Q369+Q375+Q381+Q387+Q393+Q399+Q405+Q411+Q417+Q423</f>
        <v>5412.3549999999996</v>
      </c>
    </row>
    <row r="352" spans="1:17" s="84" customFormat="1" ht="11.45" customHeight="1">
      <c r="A352" s="81"/>
      <c r="B352" s="82" t="s">
        <v>287</v>
      </c>
      <c r="C352" s="81"/>
      <c r="D352" s="81"/>
      <c r="E352" s="81"/>
      <c r="F352" s="83">
        <f>SUM(F353:F357)</f>
        <v>4061005.0580000011</v>
      </c>
      <c r="G352" s="83">
        <f t="shared" ref="G352:Q352" si="162">SUM(G353:G357)</f>
        <v>1451854.7339999999</v>
      </c>
      <c r="H352" s="83">
        <f>SUM(H353:H357)</f>
        <v>1629531.699</v>
      </c>
      <c r="I352" s="83">
        <f t="shared" si="162"/>
        <v>1794725.858</v>
      </c>
      <c r="J352" s="83">
        <f t="shared" si="162"/>
        <v>171118.37700000001</v>
      </c>
      <c r="K352" s="83">
        <f t="shared" si="162"/>
        <v>335889.06600000005</v>
      </c>
      <c r="L352" s="83">
        <f t="shared" si="162"/>
        <v>247577.93700000001</v>
      </c>
      <c r="M352" s="83">
        <f t="shared" si="162"/>
        <v>290230.80599999998</v>
      </c>
      <c r="N352" s="83">
        <f>SUM(N353:N357)</f>
        <v>441382.40899999999</v>
      </c>
      <c r="O352" s="83">
        <f t="shared" si="162"/>
        <v>479645.64</v>
      </c>
      <c r="P352" s="83">
        <f t="shared" si="162"/>
        <v>440223.141</v>
      </c>
      <c r="Q352" s="83">
        <f t="shared" si="162"/>
        <v>643306.08900000004</v>
      </c>
    </row>
    <row r="353" spans="1:17" s="84" customFormat="1" ht="11.45" customHeight="1">
      <c r="A353" s="50"/>
      <c r="B353" s="18" t="s">
        <v>29</v>
      </c>
      <c r="C353" s="50"/>
      <c r="D353" s="50"/>
      <c r="E353" s="50"/>
      <c r="F353" s="54">
        <f t="shared" ref="F353:Q353" si="163">F8+F11+F13+F16+F20+F23+F26+F30+F33++F36+F39+F42+F45+F48+F51+F54+F57+F59+F61+F65+F69+F73+F75+F78+F80+F83+F86+F89+F92+F95+F98+F101+F103+F107+F109+F112+F116</f>
        <v>2359090.9584000008</v>
      </c>
      <c r="G353" s="54">
        <f t="shared" si="163"/>
        <v>828955.16200000001</v>
      </c>
      <c r="H353" s="54">
        <f t="shared" si="163"/>
        <v>937707.40600000008</v>
      </c>
      <c r="I353" s="54">
        <f t="shared" si="163"/>
        <v>1004161.6593999999</v>
      </c>
      <c r="J353" s="54">
        <f t="shared" si="163"/>
        <v>108752.24400000001</v>
      </c>
      <c r="K353" s="54">
        <f t="shared" si="163"/>
        <v>181452.31800000003</v>
      </c>
      <c r="L353" s="54">
        <f t="shared" si="163"/>
        <v>140923.03600000002</v>
      </c>
      <c r="M353" s="54">
        <f t="shared" si="163"/>
        <v>184504.77</v>
      </c>
      <c r="N353" s="54">
        <f t="shared" si="163"/>
        <v>230612.81339999998</v>
      </c>
      <c r="O353" s="54">
        <f t="shared" si="163"/>
        <v>266668.72200000001</v>
      </c>
      <c r="P353" s="54">
        <f t="shared" si="163"/>
        <v>217238.94500000001</v>
      </c>
      <c r="Q353" s="54">
        <f t="shared" si="163"/>
        <v>417221.89300000004</v>
      </c>
    </row>
    <row r="354" spans="1:17" s="84" customFormat="1" ht="11.45" customHeight="1">
      <c r="A354" s="50"/>
      <c r="B354" s="18" t="s">
        <v>41</v>
      </c>
      <c r="C354" s="50"/>
      <c r="D354" s="50"/>
      <c r="E354" s="50"/>
      <c r="F354" s="54">
        <f t="shared" ref="F354:Q354" si="164">F17+F24+F27+F34+F40+F49+F62+F84+F87+F90+F93+F96+F99+F104+F113+F117</f>
        <v>1355786.0506000002</v>
      </c>
      <c r="G354" s="54">
        <f t="shared" si="164"/>
        <v>368837.64900000003</v>
      </c>
      <c r="H354" s="54">
        <f t="shared" si="164"/>
        <v>424969.6050000001</v>
      </c>
      <c r="I354" s="54">
        <f t="shared" si="164"/>
        <v>710144.60459999996</v>
      </c>
      <c r="J354" s="54">
        <f t="shared" si="164"/>
        <v>56131.956000000006</v>
      </c>
      <c r="K354" s="54">
        <f t="shared" si="164"/>
        <v>97534.241999999998</v>
      </c>
      <c r="L354" s="54">
        <f t="shared" si="164"/>
        <v>97292.812999999995</v>
      </c>
      <c r="M354" s="54">
        <f t="shared" si="164"/>
        <v>97186.035999999993</v>
      </c>
      <c r="N354" s="54">
        <f t="shared" si="164"/>
        <v>209154.59560000003</v>
      </c>
      <c r="O354" s="54">
        <f t="shared" si="164"/>
        <v>208976.91800000001</v>
      </c>
      <c r="P354" s="54">
        <f t="shared" si="164"/>
        <v>220671.84100000001</v>
      </c>
      <c r="Q354" s="54">
        <f t="shared" si="164"/>
        <v>220671.84100000001</v>
      </c>
    </row>
    <row r="355" spans="1:17" s="84" customFormat="1" ht="11.45" customHeight="1">
      <c r="A355" s="50"/>
      <c r="B355" s="18" t="s">
        <v>209</v>
      </c>
      <c r="C355" s="50"/>
      <c r="D355" s="50"/>
      <c r="E355" s="50"/>
      <c r="F355" s="54">
        <v>0</v>
      </c>
      <c r="G355" s="54">
        <v>0</v>
      </c>
      <c r="H355" s="54">
        <v>0</v>
      </c>
      <c r="I355" s="54">
        <v>0</v>
      </c>
      <c r="J355" s="54">
        <v>0</v>
      </c>
      <c r="K355" s="54">
        <v>0</v>
      </c>
      <c r="L355" s="54">
        <v>0</v>
      </c>
      <c r="M355" s="54">
        <v>0</v>
      </c>
      <c r="N355" s="54">
        <v>0</v>
      </c>
      <c r="O355" s="54">
        <v>0</v>
      </c>
      <c r="P355" s="54"/>
      <c r="Q355" s="54">
        <v>0</v>
      </c>
    </row>
    <row r="356" spans="1:17" s="84" customFormat="1" ht="11.45" customHeight="1">
      <c r="A356" s="50"/>
      <c r="B356" s="18" t="s">
        <v>133</v>
      </c>
      <c r="C356" s="50"/>
      <c r="D356" s="50"/>
      <c r="E356" s="50"/>
      <c r="F356" s="54">
        <f>F67+F70</f>
        <v>10499.509</v>
      </c>
      <c r="G356" s="54">
        <f t="shared" ref="G356:Q356" si="165">G67+G70</f>
        <v>1711</v>
      </c>
      <c r="H356" s="54">
        <f>H67+H70</f>
        <v>1809.4</v>
      </c>
      <c r="I356" s="54">
        <f t="shared" si="165"/>
        <v>8690.1090000000004</v>
      </c>
      <c r="J356" s="54">
        <f t="shared" si="165"/>
        <v>98.4</v>
      </c>
      <c r="K356" s="54">
        <f t="shared" si="165"/>
        <v>8690.1090000000004</v>
      </c>
      <c r="L356" s="54">
        <f t="shared" si="165"/>
        <v>0</v>
      </c>
      <c r="M356" s="54">
        <f t="shared" si="165"/>
        <v>0</v>
      </c>
      <c r="N356" s="54">
        <f t="shared" si="165"/>
        <v>0</v>
      </c>
      <c r="O356" s="54">
        <f t="shared" si="165"/>
        <v>0</v>
      </c>
      <c r="P356" s="54"/>
      <c r="Q356" s="54">
        <f t="shared" si="165"/>
        <v>0</v>
      </c>
    </row>
    <row r="357" spans="1:17" s="84" customFormat="1" ht="11.45" customHeight="1">
      <c r="A357" s="50"/>
      <c r="B357" s="18" t="s">
        <v>37</v>
      </c>
      <c r="C357" s="50"/>
      <c r="D357" s="50"/>
      <c r="E357" s="50"/>
      <c r="F357" s="54">
        <f t="shared" ref="F357:Q357" si="166">F9+F14+F18+F21+F28+F31+F37+F43+F46+F52+F55+F63+F66+F71+F81+F105+F110+F118+F76+F114</f>
        <v>335628.54</v>
      </c>
      <c r="G357" s="54">
        <f t="shared" si="166"/>
        <v>252350.92299999998</v>
      </c>
      <c r="H357" s="54">
        <f t="shared" si="166"/>
        <v>265045.288</v>
      </c>
      <c r="I357" s="54">
        <f t="shared" si="166"/>
        <v>71729.485000000001</v>
      </c>
      <c r="J357" s="54">
        <f t="shared" si="166"/>
        <v>6135.777</v>
      </c>
      <c r="K357" s="54">
        <f t="shared" si="166"/>
        <v>48212.397000000004</v>
      </c>
      <c r="L357" s="54">
        <f t="shared" si="166"/>
        <v>9362.0879999999997</v>
      </c>
      <c r="M357" s="54">
        <f t="shared" si="166"/>
        <v>8540</v>
      </c>
      <c r="N357" s="54">
        <f t="shared" si="166"/>
        <v>1615</v>
      </c>
      <c r="O357" s="54">
        <f t="shared" si="166"/>
        <v>4000</v>
      </c>
      <c r="P357" s="54">
        <f t="shared" si="166"/>
        <v>2312.355</v>
      </c>
      <c r="Q357" s="54">
        <f t="shared" si="166"/>
        <v>5412.3549999999996</v>
      </c>
    </row>
    <row r="358" spans="1:17" s="84" customFormat="1" ht="11.45" customHeight="1">
      <c r="A358" s="81"/>
      <c r="B358" s="82" t="s">
        <v>288</v>
      </c>
      <c r="C358" s="81"/>
      <c r="D358" s="81"/>
      <c r="E358" s="81"/>
      <c r="F358" s="83">
        <f>SUM(F359:F363)</f>
        <v>1551002.6970000002</v>
      </c>
      <c r="G358" s="83">
        <f t="shared" ref="G358:Q358" si="167">SUM(G359:G363)</f>
        <v>961944.33900000004</v>
      </c>
      <c r="H358" s="83">
        <f>SUM(H359:H363)</f>
        <v>1117219.199</v>
      </c>
      <c r="I358" s="83">
        <f t="shared" si="167"/>
        <v>385851.17400000006</v>
      </c>
      <c r="J358" s="83">
        <f t="shared" si="167"/>
        <v>155274.86000000002</v>
      </c>
      <c r="K358" s="83">
        <f t="shared" si="167"/>
        <v>40669.101999999992</v>
      </c>
      <c r="L358" s="83">
        <f t="shared" si="167"/>
        <v>86059.964000000022</v>
      </c>
      <c r="M358" s="83">
        <f t="shared" si="167"/>
        <v>76180</v>
      </c>
      <c r="N358" s="83">
        <f t="shared" si="167"/>
        <v>92355</v>
      </c>
      <c r="O358" s="83">
        <f t="shared" si="167"/>
        <v>90587.108000000007</v>
      </c>
      <c r="P358" s="83">
        <f t="shared" si="167"/>
        <v>24262.108</v>
      </c>
      <c r="Q358" s="83">
        <f t="shared" si="167"/>
        <v>47932.324000000001</v>
      </c>
    </row>
    <row r="359" spans="1:17" s="84" customFormat="1" ht="11.45" customHeight="1">
      <c r="A359" s="50"/>
      <c r="B359" s="18" t="s">
        <v>29</v>
      </c>
      <c r="C359" s="50"/>
      <c r="D359" s="50"/>
      <c r="E359" s="50"/>
      <c r="F359" s="54">
        <f>F121+F124+F129+F133+F136+F139+F142+F146+F148+F150</f>
        <v>559867.78100000008</v>
      </c>
      <c r="G359" s="54">
        <f t="shared" ref="G359:Q359" si="168">G121+G124+G129+G133+G136+G139+G142+G146+G148+G150</f>
        <v>172684.114</v>
      </c>
      <c r="H359" s="54">
        <f t="shared" si="168"/>
        <v>204353.62600000002</v>
      </c>
      <c r="I359" s="54">
        <f t="shared" si="168"/>
        <v>307581.83100000001</v>
      </c>
      <c r="J359" s="54">
        <f t="shared" si="168"/>
        <v>31669.511999999999</v>
      </c>
      <c r="K359" s="54">
        <f t="shared" si="168"/>
        <v>36642.841999999997</v>
      </c>
      <c r="L359" s="54">
        <f t="shared" si="168"/>
        <v>61872.133000000016</v>
      </c>
      <c r="M359" s="54">
        <f t="shared" si="168"/>
        <v>58388.862000000001</v>
      </c>
      <c r="N359" s="54">
        <f t="shared" si="168"/>
        <v>62164.057000000001</v>
      </c>
      <c r="O359" s="54">
        <f t="shared" si="168"/>
        <v>88513.937000000005</v>
      </c>
      <c r="P359" s="54">
        <f t="shared" si="168"/>
        <v>24262.108</v>
      </c>
      <c r="Q359" s="54">
        <f t="shared" si="168"/>
        <v>47932.324000000001</v>
      </c>
    </row>
    <row r="360" spans="1:17" s="84" customFormat="1" ht="11.45" customHeight="1">
      <c r="A360" s="50"/>
      <c r="B360" s="18" t="s">
        <v>41</v>
      </c>
      <c r="C360" s="50"/>
      <c r="D360" s="50"/>
      <c r="E360" s="50"/>
      <c r="F360" s="54">
        <f>F130+F140+F143</f>
        <v>78470.778999999995</v>
      </c>
      <c r="G360" s="54">
        <f t="shared" ref="G360:Q360" si="169">G130+G140+G143</f>
        <v>27153.224999999999</v>
      </c>
      <c r="H360" s="54">
        <f t="shared" si="169"/>
        <v>27944.817999999999</v>
      </c>
      <c r="I360" s="54">
        <f t="shared" si="169"/>
        <v>50525.961000000003</v>
      </c>
      <c r="J360" s="54">
        <f t="shared" si="169"/>
        <v>791.59299999999996</v>
      </c>
      <c r="K360" s="54">
        <f t="shared" si="169"/>
        <v>30.14</v>
      </c>
      <c r="L360" s="54">
        <f t="shared" si="169"/>
        <v>11710.569</v>
      </c>
      <c r="M360" s="54">
        <f t="shared" si="169"/>
        <v>16821.137999999999</v>
      </c>
      <c r="N360" s="54">
        <f t="shared" si="169"/>
        <v>19890.942999999999</v>
      </c>
      <c r="O360" s="54">
        <f t="shared" si="169"/>
        <v>2073.1709999999998</v>
      </c>
      <c r="P360" s="54">
        <f t="shared" si="169"/>
        <v>0</v>
      </c>
      <c r="Q360" s="54">
        <f t="shared" si="169"/>
        <v>0</v>
      </c>
    </row>
    <row r="361" spans="1:17" s="84" customFormat="1" ht="11.45" customHeight="1">
      <c r="A361" s="50"/>
      <c r="B361" s="18" t="s">
        <v>209</v>
      </c>
      <c r="C361" s="50"/>
      <c r="D361" s="50"/>
      <c r="E361" s="50"/>
      <c r="F361" s="54">
        <v>0</v>
      </c>
      <c r="G361" s="54">
        <v>0</v>
      </c>
      <c r="H361" s="54">
        <v>0</v>
      </c>
      <c r="I361" s="54">
        <v>0</v>
      </c>
      <c r="J361" s="54">
        <v>0</v>
      </c>
      <c r="K361" s="54">
        <v>0</v>
      </c>
      <c r="L361" s="54">
        <v>0</v>
      </c>
      <c r="M361" s="54">
        <v>0</v>
      </c>
      <c r="N361" s="54">
        <v>0</v>
      </c>
      <c r="O361" s="54">
        <v>0</v>
      </c>
      <c r="P361" s="54"/>
      <c r="Q361" s="54">
        <v>0</v>
      </c>
    </row>
    <row r="362" spans="1:17" s="84" customFormat="1" ht="11.45" customHeight="1">
      <c r="A362" s="50"/>
      <c r="B362" s="18" t="s">
        <v>133</v>
      </c>
      <c r="C362" s="50"/>
      <c r="D362" s="50"/>
      <c r="E362" s="50"/>
      <c r="F362" s="54">
        <f>F131+F122</f>
        <v>7385.753999999999</v>
      </c>
      <c r="G362" s="54">
        <f t="shared" ref="G362:Q362" si="170">G131+G122</f>
        <v>0</v>
      </c>
      <c r="H362" s="54">
        <f t="shared" si="170"/>
        <v>0</v>
      </c>
      <c r="I362" s="54">
        <f t="shared" si="170"/>
        <v>7385.753999999999</v>
      </c>
      <c r="J362" s="54">
        <f t="shared" si="170"/>
        <v>0</v>
      </c>
      <c r="K362" s="54">
        <f t="shared" si="170"/>
        <v>2808.431</v>
      </c>
      <c r="L362" s="54">
        <f t="shared" si="170"/>
        <v>4577.3230000000003</v>
      </c>
      <c r="M362" s="54">
        <f t="shared" si="170"/>
        <v>0</v>
      </c>
      <c r="N362" s="54">
        <f t="shared" si="170"/>
        <v>0</v>
      </c>
      <c r="O362" s="54">
        <f t="shared" si="170"/>
        <v>0</v>
      </c>
      <c r="P362" s="54">
        <f t="shared" si="170"/>
        <v>0</v>
      </c>
      <c r="Q362" s="54">
        <f t="shared" si="170"/>
        <v>0</v>
      </c>
    </row>
    <row r="363" spans="1:17" s="84" customFormat="1" ht="11.45" customHeight="1">
      <c r="A363" s="50"/>
      <c r="B363" s="18" t="s">
        <v>37</v>
      </c>
      <c r="C363" s="50"/>
      <c r="D363" s="50"/>
      <c r="E363" s="50"/>
      <c r="F363" s="54">
        <f>F125+F126+F127+F134+F144+F137</f>
        <v>905278.38300000003</v>
      </c>
      <c r="G363" s="54">
        <f t="shared" ref="G363:Q363" si="171">G125+G126+G127+G134+G144+G137</f>
        <v>762107</v>
      </c>
      <c r="H363" s="54">
        <f t="shared" si="171"/>
        <v>884920.755</v>
      </c>
      <c r="I363" s="54">
        <f t="shared" si="171"/>
        <v>20357.628000000001</v>
      </c>
      <c r="J363" s="54">
        <f t="shared" si="171"/>
        <v>122813.755</v>
      </c>
      <c r="K363" s="54">
        <f t="shared" si="171"/>
        <v>1187.6890000000001</v>
      </c>
      <c r="L363" s="54">
        <f t="shared" si="171"/>
        <v>7899.9390000000003</v>
      </c>
      <c r="M363" s="54">
        <f t="shared" si="171"/>
        <v>970</v>
      </c>
      <c r="N363" s="54">
        <f t="shared" si="171"/>
        <v>10300</v>
      </c>
      <c r="O363" s="54">
        <f t="shared" si="171"/>
        <v>0</v>
      </c>
      <c r="P363" s="54">
        <f t="shared" si="171"/>
        <v>0</v>
      </c>
      <c r="Q363" s="54">
        <f t="shared" si="171"/>
        <v>0</v>
      </c>
    </row>
    <row r="364" spans="1:17" s="84" customFormat="1" ht="11.45" customHeight="1">
      <c r="A364" s="81"/>
      <c r="B364" s="82" t="s">
        <v>289</v>
      </c>
      <c r="C364" s="81"/>
      <c r="D364" s="81"/>
      <c r="E364" s="81"/>
      <c r="F364" s="83">
        <f>SUM(F365:F369)</f>
        <v>170291.03599999999</v>
      </c>
      <c r="G364" s="83">
        <f t="shared" ref="G364:Q364" si="172">SUM(G365:G369)</f>
        <v>43501.398999999998</v>
      </c>
      <c r="H364" s="83">
        <f>SUM(H365:H369)</f>
        <v>48089.237999999998</v>
      </c>
      <c r="I364" s="83">
        <f t="shared" si="172"/>
        <v>42101.798000000003</v>
      </c>
      <c r="J364" s="83">
        <f t="shared" si="172"/>
        <v>4587.8389999999999</v>
      </c>
      <c r="K364" s="83">
        <f t="shared" si="172"/>
        <v>6941.7979999999998</v>
      </c>
      <c r="L364" s="83">
        <f t="shared" si="172"/>
        <v>7592</v>
      </c>
      <c r="M364" s="83">
        <f t="shared" si="172"/>
        <v>12856</v>
      </c>
      <c r="N364" s="83">
        <f t="shared" si="172"/>
        <v>13962</v>
      </c>
      <c r="O364" s="83">
        <f t="shared" si="172"/>
        <v>750</v>
      </c>
      <c r="P364" s="83">
        <f t="shared" si="172"/>
        <v>10000</v>
      </c>
      <c r="Q364" s="83">
        <f t="shared" si="172"/>
        <v>80100</v>
      </c>
    </row>
    <row r="365" spans="1:17" s="84" customFormat="1" ht="11.45" customHeight="1">
      <c r="A365" s="50"/>
      <c r="B365" s="18" t="s">
        <v>29</v>
      </c>
      <c r="C365" s="50"/>
      <c r="D365" s="50"/>
      <c r="E365" s="50"/>
      <c r="F365" s="54">
        <f>F153+F155+F157+F160+F162+F164</f>
        <v>163528.03599999999</v>
      </c>
      <c r="G365" s="54">
        <f t="shared" ref="G365:Q365" si="173">G153+G155+G157+G160+G162+G164</f>
        <v>43000.398999999998</v>
      </c>
      <c r="H365" s="54">
        <f t="shared" si="173"/>
        <v>47588.237999999998</v>
      </c>
      <c r="I365" s="54">
        <f t="shared" si="173"/>
        <v>35839.798000000003</v>
      </c>
      <c r="J365" s="54">
        <f t="shared" si="173"/>
        <v>4587.8389999999999</v>
      </c>
      <c r="K365" s="54">
        <f t="shared" si="173"/>
        <v>5491.7979999999998</v>
      </c>
      <c r="L365" s="54">
        <f t="shared" si="173"/>
        <v>7592</v>
      </c>
      <c r="M365" s="54">
        <f t="shared" si="173"/>
        <v>10556</v>
      </c>
      <c r="N365" s="54">
        <f t="shared" si="173"/>
        <v>11450</v>
      </c>
      <c r="O365" s="54">
        <f t="shared" si="173"/>
        <v>750</v>
      </c>
      <c r="P365" s="54">
        <f t="shared" si="173"/>
        <v>10000</v>
      </c>
      <c r="Q365" s="54">
        <f t="shared" si="173"/>
        <v>80100</v>
      </c>
    </row>
    <row r="366" spans="1:17" s="84" customFormat="1" ht="11.45" customHeight="1">
      <c r="A366" s="50"/>
      <c r="B366" s="18" t="s">
        <v>41</v>
      </c>
      <c r="C366" s="50"/>
      <c r="D366" s="50"/>
      <c r="E366" s="50"/>
      <c r="F366" s="54">
        <v>0</v>
      </c>
      <c r="G366" s="54">
        <v>0</v>
      </c>
      <c r="H366" s="54">
        <v>0</v>
      </c>
      <c r="I366" s="54">
        <v>0</v>
      </c>
      <c r="J366" s="54">
        <v>0</v>
      </c>
      <c r="K366" s="54">
        <v>0</v>
      </c>
      <c r="L366" s="54">
        <v>0</v>
      </c>
      <c r="M366" s="54">
        <v>0</v>
      </c>
      <c r="N366" s="54">
        <v>0</v>
      </c>
      <c r="O366" s="54">
        <v>0</v>
      </c>
      <c r="P366" s="54"/>
      <c r="Q366" s="54">
        <v>0</v>
      </c>
    </row>
    <row r="367" spans="1:17" s="84" customFormat="1" ht="11.45" customHeight="1">
      <c r="A367" s="50"/>
      <c r="B367" s="18" t="s">
        <v>209</v>
      </c>
      <c r="C367" s="50"/>
      <c r="D367" s="50"/>
      <c r="E367" s="50"/>
      <c r="F367" s="54">
        <v>0</v>
      </c>
      <c r="G367" s="54">
        <v>0</v>
      </c>
      <c r="H367" s="54">
        <v>0</v>
      </c>
      <c r="I367" s="54">
        <v>0</v>
      </c>
      <c r="J367" s="54">
        <v>0</v>
      </c>
      <c r="K367" s="54">
        <v>0</v>
      </c>
      <c r="L367" s="54">
        <v>0</v>
      </c>
      <c r="M367" s="54">
        <v>0</v>
      </c>
      <c r="N367" s="54">
        <v>0</v>
      </c>
      <c r="O367" s="54">
        <v>0</v>
      </c>
      <c r="P367" s="54"/>
      <c r="Q367" s="54">
        <v>0</v>
      </c>
    </row>
    <row r="368" spans="1:17" s="84" customFormat="1" ht="11.45" customHeight="1">
      <c r="A368" s="50"/>
      <c r="B368" s="18" t="s">
        <v>133</v>
      </c>
      <c r="C368" s="50"/>
      <c r="D368" s="50"/>
      <c r="E368" s="50"/>
      <c r="F368" s="54">
        <v>0</v>
      </c>
      <c r="G368" s="54">
        <v>0</v>
      </c>
      <c r="H368" s="54">
        <v>0</v>
      </c>
      <c r="I368" s="54">
        <v>0</v>
      </c>
      <c r="J368" s="54">
        <v>0</v>
      </c>
      <c r="K368" s="54">
        <v>0</v>
      </c>
      <c r="L368" s="54">
        <v>0</v>
      </c>
      <c r="M368" s="54">
        <v>0</v>
      </c>
      <c r="N368" s="54">
        <v>0</v>
      </c>
      <c r="O368" s="54">
        <v>0</v>
      </c>
      <c r="P368" s="54"/>
      <c r="Q368" s="54">
        <v>0</v>
      </c>
    </row>
    <row r="369" spans="1:17" s="84" customFormat="1" ht="11.45" customHeight="1">
      <c r="A369" s="50"/>
      <c r="B369" s="18" t="s">
        <v>37</v>
      </c>
      <c r="C369" s="50"/>
      <c r="D369" s="50"/>
      <c r="E369" s="50"/>
      <c r="F369" s="54">
        <f>F158</f>
        <v>6763</v>
      </c>
      <c r="G369" s="54">
        <f t="shared" ref="G369:Q369" si="174">G158</f>
        <v>501</v>
      </c>
      <c r="H369" s="54">
        <f t="shared" si="174"/>
        <v>501</v>
      </c>
      <c r="I369" s="54">
        <f t="shared" si="174"/>
        <v>6262</v>
      </c>
      <c r="J369" s="54">
        <f t="shared" si="174"/>
        <v>0</v>
      </c>
      <c r="K369" s="54">
        <f t="shared" si="174"/>
        <v>1450</v>
      </c>
      <c r="L369" s="54">
        <f t="shared" si="174"/>
        <v>0</v>
      </c>
      <c r="M369" s="54">
        <f t="shared" si="174"/>
        <v>2300</v>
      </c>
      <c r="N369" s="54">
        <f t="shared" si="174"/>
        <v>2512</v>
      </c>
      <c r="O369" s="54">
        <f t="shared" si="174"/>
        <v>0</v>
      </c>
      <c r="P369" s="54">
        <f t="shared" si="174"/>
        <v>0</v>
      </c>
      <c r="Q369" s="54">
        <f t="shared" si="174"/>
        <v>0</v>
      </c>
    </row>
    <row r="370" spans="1:17" s="84" customFormat="1" ht="11.45" customHeight="1">
      <c r="A370" s="81"/>
      <c r="B370" s="82" t="s">
        <v>290</v>
      </c>
      <c r="C370" s="81"/>
      <c r="D370" s="81"/>
      <c r="E370" s="81"/>
      <c r="F370" s="83">
        <f>SUM(F371:F375)</f>
        <v>184115.21799999999</v>
      </c>
      <c r="G370" s="83">
        <f t="shared" ref="G370:Q370" si="175">SUM(G371:G375)</f>
        <v>90067.69</v>
      </c>
      <c r="H370" s="83">
        <f>SUM(H371:H375)</f>
        <v>98974.713000000003</v>
      </c>
      <c r="I370" s="83">
        <f t="shared" si="175"/>
        <v>81140.505000000005</v>
      </c>
      <c r="J370" s="83">
        <f t="shared" si="175"/>
        <v>8907.023000000001</v>
      </c>
      <c r="K370" s="83">
        <f t="shared" si="175"/>
        <v>14099.717000000001</v>
      </c>
      <c r="L370" s="83">
        <f t="shared" si="175"/>
        <v>9481.5</v>
      </c>
      <c r="M370" s="83">
        <f t="shared" si="175"/>
        <v>39559.287999999993</v>
      </c>
      <c r="N370" s="83">
        <f t="shared" si="175"/>
        <v>8000</v>
      </c>
      <c r="O370" s="83">
        <f t="shared" si="175"/>
        <v>10000</v>
      </c>
      <c r="P370" s="83">
        <f t="shared" si="175"/>
        <v>4000</v>
      </c>
      <c r="Q370" s="83">
        <f t="shared" si="175"/>
        <v>4000</v>
      </c>
    </row>
    <row r="371" spans="1:17" s="84" customFormat="1" ht="11.45" customHeight="1">
      <c r="A371" s="50"/>
      <c r="B371" s="18" t="s">
        <v>29</v>
      </c>
      <c r="C371" s="50"/>
      <c r="D371" s="50"/>
      <c r="E371" s="50"/>
      <c r="F371" s="54">
        <f>F167+F169+F173+F202+F175+F178+F181+F184+F187+F190+F199+F193+F196</f>
        <v>163423.45499999999</v>
      </c>
      <c r="G371" s="54">
        <f t="shared" ref="G371:Q371" si="176">G167+G169+G173+G202+G175+G178+G181+G184+G187+G190+G199+G193+G196</f>
        <v>90067.69</v>
      </c>
      <c r="H371" s="54">
        <f t="shared" si="176"/>
        <v>98974.713000000003</v>
      </c>
      <c r="I371" s="54">
        <f t="shared" si="176"/>
        <v>60448.741999999998</v>
      </c>
      <c r="J371" s="54">
        <f t="shared" si="176"/>
        <v>8907.023000000001</v>
      </c>
      <c r="K371" s="54">
        <f t="shared" si="176"/>
        <v>13919.717000000001</v>
      </c>
      <c r="L371" s="54">
        <f t="shared" si="176"/>
        <v>8567.9429999999993</v>
      </c>
      <c r="M371" s="54">
        <f t="shared" si="176"/>
        <v>19961.081999999995</v>
      </c>
      <c r="N371" s="54">
        <f t="shared" si="176"/>
        <v>8000</v>
      </c>
      <c r="O371" s="54">
        <f t="shared" si="176"/>
        <v>10000</v>
      </c>
      <c r="P371" s="54">
        <f t="shared" si="176"/>
        <v>4000</v>
      </c>
      <c r="Q371" s="54">
        <f t="shared" si="176"/>
        <v>4000</v>
      </c>
    </row>
    <row r="372" spans="1:17" s="84" customFormat="1" ht="11.45" customHeight="1">
      <c r="A372" s="50"/>
      <c r="B372" s="18" t="s">
        <v>41</v>
      </c>
      <c r="C372" s="50"/>
      <c r="D372" s="50"/>
      <c r="E372" s="50"/>
      <c r="F372" s="54">
        <f>F170+F176+F179+F182+F185+F188+F191+F200+F194+F197</f>
        <v>20151.762999999999</v>
      </c>
      <c r="G372" s="54">
        <f t="shared" ref="G372:Q372" si="177">G170+G176+G179+G182+G185+G188+G191+G200+G194+G197</f>
        <v>0</v>
      </c>
      <c r="H372" s="54">
        <f t="shared" si="177"/>
        <v>0</v>
      </c>
      <c r="I372" s="54">
        <f t="shared" si="177"/>
        <v>20151.762999999999</v>
      </c>
      <c r="J372" s="54">
        <f t="shared" si="177"/>
        <v>0</v>
      </c>
      <c r="K372" s="54">
        <f t="shared" si="177"/>
        <v>0</v>
      </c>
      <c r="L372" s="54">
        <f t="shared" si="177"/>
        <v>733.55700000000002</v>
      </c>
      <c r="M372" s="54">
        <f t="shared" si="177"/>
        <v>19418.205999999998</v>
      </c>
      <c r="N372" s="54">
        <f t="shared" si="177"/>
        <v>0</v>
      </c>
      <c r="O372" s="54">
        <f t="shared" si="177"/>
        <v>0</v>
      </c>
      <c r="P372" s="54">
        <f t="shared" si="177"/>
        <v>0</v>
      </c>
      <c r="Q372" s="54">
        <f t="shared" si="177"/>
        <v>0</v>
      </c>
    </row>
    <row r="373" spans="1:17" s="84" customFormat="1" ht="11.45" customHeight="1">
      <c r="A373" s="50"/>
      <c r="B373" s="18" t="s">
        <v>209</v>
      </c>
      <c r="C373" s="50"/>
      <c r="D373" s="50"/>
      <c r="E373" s="50"/>
      <c r="F373" s="54">
        <v>0</v>
      </c>
      <c r="G373" s="54">
        <v>0</v>
      </c>
      <c r="H373" s="54">
        <v>0</v>
      </c>
      <c r="I373" s="54">
        <v>0</v>
      </c>
      <c r="J373" s="54">
        <v>0</v>
      </c>
      <c r="K373" s="54">
        <v>0</v>
      </c>
      <c r="L373" s="54">
        <v>0</v>
      </c>
      <c r="M373" s="54">
        <v>0</v>
      </c>
      <c r="N373" s="54">
        <v>0</v>
      </c>
      <c r="O373" s="54">
        <v>0</v>
      </c>
      <c r="P373" s="54">
        <v>0</v>
      </c>
      <c r="Q373" s="54">
        <v>0</v>
      </c>
    </row>
    <row r="374" spans="1:17" s="84" customFormat="1" ht="11.45" customHeight="1">
      <c r="A374" s="50"/>
      <c r="B374" s="18" t="s">
        <v>133</v>
      </c>
      <c r="C374" s="50"/>
      <c r="D374" s="50"/>
      <c r="E374" s="50"/>
      <c r="F374" s="54">
        <v>0</v>
      </c>
      <c r="G374" s="54">
        <v>0</v>
      </c>
      <c r="H374" s="54">
        <v>0</v>
      </c>
      <c r="I374" s="54">
        <v>0</v>
      </c>
      <c r="J374" s="54">
        <v>0</v>
      </c>
      <c r="K374" s="54">
        <v>0</v>
      </c>
      <c r="L374" s="54">
        <v>0</v>
      </c>
      <c r="M374" s="54">
        <v>0</v>
      </c>
      <c r="N374" s="54">
        <v>0</v>
      </c>
      <c r="O374" s="54">
        <v>0</v>
      </c>
      <c r="P374" s="54">
        <v>0</v>
      </c>
      <c r="Q374" s="54">
        <v>0</v>
      </c>
    </row>
    <row r="375" spans="1:17" s="84" customFormat="1" ht="11.45" customHeight="1">
      <c r="A375" s="50"/>
      <c r="B375" s="18" t="s">
        <v>37</v>
      </c>
      <c r="C375" s="50"/>
      <c r="D375" s="50"/>
      <c r="E375" s="50"/>
      <c r="F375" s="54">
        <f>F171</f>
        <v>540</v>
      </c>
      <c r="G375" s="54">
        <f t="shared" ref="G375:Q375" si="178">G171</f>
        <v>0</v>
      </c>
      <c r="H375" s="54">
        <f t="shared" si="178"/>
        <v>0</v>
      </c>
      <c r="I375" s="54">
        <f t="shared" si="178"/>
        <v>540</v>
      </c>
      <c r="J375" s="54">
        <f t="shared" si="178"/>
        <v>0</v>
      </c>
      <c r="K375" s="54">
        <f t="shared" si="178"/>
        <v>180</v>
      </c>
      <c r="L375" s="54">
        <f t="shared" si="178"/>
        <v>180</v>
      </c>
      <c r="M375" s="54">
        <f t="shared" si="178"/>
        <v>180</v>
      </c>
      <c r="N375" s="54">
        <f t="shared" si="178"/>
        <v>0</v>
      </c>
      <c r="O375" s="54">
        <f t="shared" si="178"/>
        <v>0</v>
      </c>
      <c r="P375" s="54">
        <f t="shared" si="178"/>
        <v>0</v>
      </c>
      <c r="Q375" s="54">
        <f t="shared" si="178"/>
        <v>0</v>
      </c>
    </row>
    <row r="376" spans="1:17" s="84" customFormat="1" ht="11.45" customHeight="1">
      <c r="A376" s="81"/>
      <c r="B376" s="82" t="s">
        <v>291</v>
      </c>
      <c r="C376" s="81"/>
      <c r="D376" s="81"/>
      <c r="E376" s="81"/>
      <c r="F376" s="83">
        <f>SUM(F377:F381)</f>
        <v>7873.6090000000004</v>
      </c>
      <c r="G376" s="83">
        <f t="shared" ref="G376:Q376" si="179">SUM(G377:G381)</f>
        <v>151.244</v>
      </c>
      <c r="H376" s="83">
        <f>SUM(H377:H381)</f>
        <v>1081.2439999999999</v>
      </c>
      <c r="I376" s="83">
        <f t="shared" si="179"/>
        <v>6792.3649999999998</v>
      </c>
      <c r="J376" s="83">
        <f t="shared" si="179"/>
        <v>930</v>
      </c>
      <c r="K376" s="83">
        <f t="shared" si="179"/>
        <v>2792.3649999999998</v>
      </c>
      <c r="L376" s="83">
        <f t="shared" si="179"/>
        <v>1000</v>
      </c>
      <c r="M376" s="83">
        <f t="shared" si="179"/>
        <v>1000</v>
      </c>
      <c r="N376" s="83">
        <f t="shared" si="179"/>
        <v>1000</v>
      </c>
      <c r="O376" s="83">
        <f t="shared" si="179"/>
        <v>1000</v>
      </c>
      <c r="P376" s="83">
        <f t="shared" si="179"/>
        <v>0</v>
      </c>
      <c r="Q376" s="83">
        <f t="shared" si="179"/>
        <v>0</v>
      </c>
    </row>
    <row r="377" spans="1:17" s="84" customFormat="1" ht="11.45" customHeight="1">
      <c r="A377" s="50"/>
      <c r="B377" s="18" t="s">
        <v>29</v>
      </c>
      <c r="C377" s="50"/>
      <c r="D377" s="50"/>
      <c r="E377" s="50"/>
      <c r="F377" s="54">
        <f>F205+F207</f>
        <v>7873.6090000000004</v>
      </c>
      <c r="G377" s="54">
        <f t="shared" ref="G377:Q377" si="180">G205+G207</f>
        <v>151.244</v>
      </c>
      <c r="H377" s="54">
        <f t="shared" si="180"/>
        <v>1081.2439999999999</v>
      </c>
      <c r="I377" s="54">
        <f t="shared" si="180"/>
        <v>6792.3649999999998</v>
      </c>
      <c r="J377" s="54">
        <f t="shared" si="180"/>
        <v>930</v>
      </c>
      <c r="K377" s="54">
        <f t="shared" si="180"/>
        <v>2792.3649999999998</v>
      </c>
      <c r="L377" s="54">
        <f t="shared" si="180"/>
        <v>1000</v>
      </c>
      <c r="M377" s="54">
        <f t="shared" si="180"/>
        <v>1000</v>
      </c>
      <c r="N377" s="54">
        <f t="shared" si="180"/>
        <v>1000</v>
      </c>
      <c r="O377" s="54">
        <f t="shared" si="180"/>
        <v>1000</v>
      </c>
      <c r="P377" s="54">
        <f t="shared" si="180"/>
        <v>0</v>
      </c>
      <c r="Q377" s="54">
        <f t="shared" si="180"/>
        <v>0</v>
      </c>
    </row>
    <row r="378" spans="1:17" s="84" customFormat="1" ht="11.45" customHeight="1">
      <c r="A378" s="50"/>
      <c r="B378" s="18" t="s">
        <v>41</v>
      </c>
      <c r="C378" s="50"/>
      <c r="D378" s="50"/>
      <c r="E378" s="50"/>
      <c r="F378" s="54">
        <f>0</f>
        <v>0</v>
      </c>
      <c r="G378" s="54">
        <v>0</v>
      </c>
      <c r="H378" s="54">
        <v>0</v>
      </c>
      <c r="I378" s="54">
        <v>0</v>
      </c>
      <c r="J378" s="54">
        <v>0</v>
      </c>
      <c r="K378" s="54">
        <v>0</v>
      </c>
      <c r="L378" s="54">
        <v>0</v>
      </c>
      <c r="M378" s="54">
        <v>0</v>
      </c>
      <c r="N378" s="54">
        <v>0</v>
      </c>
      <c r="O378" s="54">
        <v>0</v>
      </c>
      <c r="P378" s="54">
        <v>0</v>
      </c>
      <c r="Q378" s="54">
        <v>0</v>
      </c>
    </row>
    <row r="379" spans="1:17" s="84" customFormat="1" ht="11.45" customHeight="1">
      <c r="A379" s="50"/>
      <c r="B379" s="18" t="s">
        <v>209</v>
      </c>
      <c r="C379" s="50"/>
      <c r="D379" s="50"/>
      <c r="E379" s="50"/>
      <c r="F379" s="54">
        <v>0</v>
      </c>
      <c r="G379" s="54">
        <v>0</v>
      </c>
      <c r="H379" s="54">
        <v>0</v>
      </c>
      <c r="I379" s="54">
        <v>0</v>
      </c>
      <c r="J379" s="54">
        <v>0</v>
      </c>
      <c r="K379" s="54">
        <v>0</v>
      </c>
      <c r="L379" s="54">
        <v>0</v>
      </c>
      <c r="M379" s="54">
        <v>0</v>
      </c>
      <c r="N379" s="54">
        <v>0</v>
      </c>
      <c r="O379" s="54">
        <v>0</v>
      </c>
      <c r="P379" s="54">
        <v>0</v>
      </c>
      <c r="Q379" s="54">
        <v>0</v>
      </c>
    </row>
    <row r="380" spans="1:17" s="84" customFormat="1" ht="11.45" customHeight="1">
      <c r="A380" s="50"/>
      <c r="B380" s="18" t="s">
        <v>133</v>
      </c>
      <c r="C380" s="50"/>
      <c r="D380" s="50"/>
      <c r="E380" s="50"/>
      <c r="F380" s="54">
        <v>0</v>
      </c>
      <c r="G380" s="54">
        <v>0</v>
      </c>
      <c r="H380" s="54">
        <v>0</v>
      </c>
      <c r="I380" s="54">
        <v>0</v>
      </c>
      <c r="J380" s="54">
        <v>0</v>
      </c>
      <c r="K380" s="54">
        <v>0</v>
      </c>
      <c r="L380" s="54">
        <v>0</v>
      </c>
      <c r="M380" s="54">
        <v>0</v>
      </c>
      <c r="N380" s="54">
        <v>0</v>
      </c>
      <c r="O380" s="54">
        <v>0</v>
      </c>
      <c r="P380" s="54">
        <v>0</v>
      </c>
      <c r="Q380" s="54">
        <v>0</v>
      </c>
    </row>
    <row r="381" spans="1:17" s="84" customFormat="1" ht="11.45" customHeight="1">
      <c r="A381" s="50"/>
      <c r="B381" s="18" t="s">
        <v>37</v>
      </c>
      <c r="C381" s="50"/>
      <c r="D381" s="50"/>
      <c r="E381" s="50"/>
      <c r="F381" s="54">
        <v>0</v>
      </c>
      <c r="G381" s="54">
        <v>0</v>
      </c>
      <c r="H381" s="54">
        <v>0</v>
      </c>
      <c r="I381" s="54">
        <v>0</v>
      </c>
      <c r="J381" s="54">
        <v>0</v>
      </c>
      <c r="K381" s="54">
        <v>0</v>
      </c>
      <c r="L381" s="54">
        <v>0</v>
      </c>
      <c r="M381" s="54">
        <v>0</v>
      </c>
      <c r="N381" s="54">
        <v>0</v>
      </c>
      <c r="O381" s="54">
        <v>0</v>
      </c>
      <c r="P381" s="54">
        <v>0</v>
      </c>
      <c r="Q381" s="54">
        <v>0</v>
      </c>
    </row>
    <row r="382" spans="1:17" s="84" customFormat="1" ht="11.45" customHeight="1">
      <c r="A382" s="81"/>
      <c r="B382" s="82" t="s">
        <v>292</v>
      </c>
      <c r="C382" s="81"/>
      <c r="D382" s="81"/>
      <c r="E382" s="81"/>
      <c r="F382" s="83">
        <f>SUM(F383:F387)</f>
        <v>963954.73599999992</v>
      </c>
      <c r="G382" s="83">
        <f t="shared" ref="G382:Q382" si="181">SUM(G383:G387)</f>
        <v>314524.99600000004</v>
      </c>
      <c r="H382" s="83">
        <f>SUM(H383:H387)</f>
        <v>355427.44300000003</v>
      </c>
      <c r="I382" s="83">
        <f t="shared" si="181"/>
        <v>347891.29300000006</v>
      </c>
      <c r="J382" s="83">
        <f t="shared" si="181"/>
        <v>40902.447</v>
      </c>
      <c r="K382" s="83">
        <f t="shared" si="181"/>
        <v>78663.293000000005</v>
      </c>
      <c r="L382" s="83">
        <f t="shared" si="181"/>
        <v>58621</v>
      </c>
      <c r="M382" s="83">
        <f t="shared" si="181"/>
        <v>85408.999999999985</v>
      </c>
      <c r="N382" s="83">
        <f t="shared" si="181"/>
        <v>56009</v>
      </c>
      <c r="O382" s="83">
        <f t="shared" si="181"/>
        <v>69189</v>
      </c>
      <c r="P382" s="83">
        <f t="shared" si="181"/>
        <v>74769</v>
      </c>
      <c r="Q382" s="83">
        <f t="shared" si="181"/>
        <v>260636</v>
      </c>
    </row>
    <row r="383" spans="1:17" s="84" customFormat="1" ht="11.45" customHeight="1">
      <c r="A383" s="50"/>
      <c r="B383" s="18" t="s">
        <v>29</v>
      </c>
      <c r="C383" s="50"/>
      <c r="D383" s="50"/>
      <c r="E383" s="50"/>
      <c r="F383" s="54">
        <f>F210+F212+F215+F218+F221+F223+F225+F230+F227</f>
        <v>951495.78699999989</v>
      </c>
      <c r="G383" s="54">
        <f t="shared" ref="G383:Q383" si="182">G210+G212+G215+G218+G221+G223+G225+G230+G227</f>
        <v>313484.99600000004</v>
      </c>
      <c r="H383" s="54">
        <f t="shared" si="182"/>
        <v>354387.44300000003</v>
      </c>
      <c r="I383" s="54">
        <f t="shared" si="182"/>
        <v>336472.34400000004</v>
      </c>
      <c r="J383" s="54">
        <f t="shared" si="182"/>
        <v>40902.447</v>
      </c>
      <c r="K383" s="54">
        <f t="shared" si="182"/>
        <v>78663.293000000005</v>
      </c>
      <c r="L383" s="54">
        <f t="shared" si="182"/>
        <v>50787.061000000002</v>
      </c>
      <c r="M383" s="54">
        <f t="shared" si="182"/>
        <v>82323.989999999991</v>
      </c>
      <c r="N383" s="54">
        <f t="shared" si="182"/>
        <v>55509</v>
      </c>
      <c r="O383" s="54">
        <f t="shared" si="182"/>
        <v>69189</v>
      </c>
      <c r="P383" s="54">
        <f t="shared" si="182"/>
        <v>74769</v>
      </c>
      <c r="Q383" s="54">
        <f t="shared" si="182"/>
        <v>260636</v>
      </c>
    </row>
    <row r="384" spans="1:17" s="84" customFormat="1" ht="11.45" customHeight="1">
      <c r="A384" s="50"/>
      <c r="B384" s="18" t="s">
        <v>41</v>
      </c>
      <c r="C384" s="50"/>
      <c r="D384" s="50"/>
      <c r="E384" s="50"/>
      <c r="F384" s="54">
        <f>F219+F213+F228</f>
        <v>11418.949000000001</v>
      </c>
      <c r="G384" s="54">
        <f t="shared" ref="G384:Q384" si="183">G219+G213+G228</f>
        <v>0</v>
      </c>
      <c r="H384" s="54">
        <f t="shared" si="183"/>
        <v>0</v>
      </c>
      <c r="I384" s="54">
        <f t="shared" si="183"/>
        <v>11418.949000000001</v>
      </c>
      <c r="J384" s="54">
        <f t="shared" si="183"/>
        <v>0</v>
      </c>
      <c r="K384" s="54">
        <f t="shared" si="183"/>
        <v>0</v>
      </c>
      <c r="L384" s="54">
        <f t="shared" si="183"/>
        <v>7833.9390000000003</v>
      </c>
      <c r="M384" s="54">
        <f t="shared" si="183"/>
        <v>3085.01</v>
      </c>
      <c r="N384" s="54">
        <f t="shared" si="183"/>
        <v>500</v>
      </c>
      <c r="O384" s="54">
        <f t="shared" si="183"/>
        <v>0</v>
      </c>
      <c r="P384" s="54">
        <f t="shared" si="183"/>
        <v>0</v>
      </c>
      <c r="Q384" s="54">
        <f t="shared" si="183"/>
        <v>0</v>
      </c>
    </row>
    <row r="385" spans="1:17" s="84" customFormat="1" ht="11.45" customHeight="1">
      <c r="A385" s="50"/>
      <c r="B385" s="18" t="s">
        <v>209</v>
      </c>
      <c r="C385" s="50"/>
      <c r="D385" s="50"/>
      <c r="E385" s="50"/>
      <c r="F385" s="54">
        <v>0</v>
      </c>
      <c r="G385" s="54">
        <v>0</v>
      </c>
      <c r="H385" s="54">
        <v>0</v>
      </c>
      <c r="I385" s="54">
        <v>0</v>
      </c>
      <c r="J385" s="54">
        <v>0</v>
      </c>
      <c r="K385" s="54">
        <v>0</v>
      </c>
      <c r="L385" s="54">
        <v>0</v>
      </c>
      <c r="M385" s="54">
        <v>0</v>
      </c>
      <c r="N385" s="54">
        <v>0</v>
      </c>
      <c r="O385" s="54">
        <v>0</v>
      </c>
      <c r="P385" s="54">
        <v>0</v>
      </c>
      <c r="Q385" s="54">
        <v>0</v>
      </c>
    </row>
    <row r="386" spans="1:17" s="84" customFormat="1" ht="11.45" customHeight="1">
      <c r="A386" s="50"/>
      <c r="B386" s="18" t="s">
        <v>133</v>
      </c>
      <c r="C386" s="50"/>
      <c r="D386" s="50"/>
      <c r="E386" s="50"/>
      <c r="F386" s="54">
        <f>F216</f>
        <v>1040</v>
      </c>
      <c r="G386" s="54">
        <f t="shared" ref="G386:Q386" si="184">G216</f>
        <v>1040</v>
      </c>
      <c r="H386" s="54">
        <f t="shared" si="184"/>
        <v>1040</v>
      </c>
      <c r="I386" s="54">
        <f t="shared" si="184"/>
        <v>0</v>
      </c>
      <c r="J386" s="54">
        <f t="shared" si="184"/>
        <v>0</v>
      </c>
      <c r="K386" s="54">
        <f t="shared" si="184"/>
        <v>0</v>
      </c>
      <c r="L386" s="54">
        <f t="shared" si="184"/>
        <v>0</v>
      </c>
      <c r="M386" s="54">
        <f t="shared" si="184"/>
        <v>0</v>
      </c>
      <c r="N386" s="54">
        <f t="shared" si="184"/>
        <v>0</v>
      </c>
      <c r="O386" s="54">
        <f t="shared" si="184"/>
        <v>0</v>
      </c>
      <c r="P386" s="54">
        <f t="shared" si="184"/>
        <v>0</v>
      </c>
      <c r="Q386" s="54">
        <f t="shared" si="184"/>
        <v>0</v>
      </c>
    </row>
    <row r="387" spans="1:17" s="84" customFormat="1" ht="11.45" customHeight="1">
      <c r="A387" s="85"/>
      <c r="B387" s="86" t="s">
        <v>37</v>
      </c>
      <c r="C387" s="85"/>
      <c r="D387" s="85"/>
      <c r="E387" s="85"/>
      <c r="F387" s="87">
        <v>0</v>
      </c>
      <c r="G387" s="87">
        <v>0</v>
      </c>
      <c r="H387" s="87">
        <v>0</v>
      </c>
      <c r="I387" s="87">
        <v>0</v>
      </c>
      <c r="J387" s="87">
        <v>0</v>
      </c>
      <c r="K387" s="87">
        <v>0</v>
      </c>
      <c r="L387" s="87">
        <v>0</v>
      </c>
      <c r="M387" s="87">
        <v>0</v>
      </c>
      <c r="N387" s="87">
        <v>0</v>
      </c>
      <c r="O387" s="87">
        <v>0</v>
      </c>
      <c r="P387" s="87">
        <v>0</v>
      </c>
      <c r="Q387" s="87">
        <v>0</v>
      </c>
    </row>
    <row r="388" spans="1:17" s="84" customFormat="1" ht="11.45" customHeight="1">
      <c r="A388" s="88"/>
      <c r="B388" s="89" t="s">
        <v>293</v>
      </c>
      <c r="C388" s="88"/>
      <c r="D388" s="88"/>
      <c r="E388" s="88"/>
      <c r="F388" s="90">
        <f>SUM(F389:F393)</f>
        <v>13600</v>
      </c>
      <c r="G388" s="90">
        <f t="shared" ref="G388:Q388" si="185">SUM(G389:G393)</f>
        <v>0</v>
      </c>
      <c r="H388" s="90">
        <f>SUM(H389:H393)</f>
        <v>0</v>
      </c>
      <c r="I388" s="90">
        <f t="shared" si="185"/>
        <v>13600</v>
      </c>
      <c r="J388" s="90">
        <f t="shared" si="185"/>
        <v>0</v>
      </c>
      <c r="K388" s="90">
        <f t="shared" si="185"/>
        <v>2150</v>
      </c>
      <c r="L388" s="90">
        <f t="shared" si="185"/>
        <v>3450</v>
      </c>
      <c r="M388" s="90">
        <f t="shared" si="185"/>
        <v>1000</v>
      </c>
      <c r="N388" s="90">
        <f t="shared" si="185"/>
        <v>0</v>
      </c>
      <c r="O388" s="90">
        <f t="shared" si="185"/>
        <v>7000</v>
      </c>
      <c r="P388" s="90">
        <f t="shared" si="185"/>
        <v>0</v>
      </c>
      <c r="Q388" s="90">
        <f t="shared" si="185"/>
        <v>0</v>
      </c>
    </row>
    <row r="389" spans="1:17" s="84" customFormat="1" ht="11.45" customHeight="1">
      <c r="A389" s="85"/>
      <c r="B389" s="86" t="s">
        <v>29</v>
      </c>
      <c r="C389" s="85"/>
      <c r="D389" s="85"/>
      <c r="E389" s="85"/>
      <c r="F389" s="87">
        <f>F233+F235+F237</f>
        <v>13600</v>
      </c>
      <c r="G389" s="87">
        <f t="shared" ref="G389:Q389" si="186">G233+G235+G237</f>
        <v>0</v>
      </c>
      <c r="H389" s="87">
        <f t="shared" si="186"/>
        <v>0</v>
      </c>
      <c r="I389" s="87">
        <f t="shared" si="186"/>
        <v>13600</v>
      </c>
      <c r="J389" s="87">
        <f t="shared" si="186"/>
        <v>0</v>
      </c>
      <c r="K389" s="87">
        <f t="shared" si="186"/>
        <v>2150</v>
      </c>
      <c r="L389" s="87">
        <f t="shared" si="186"/>
        <v>3450</v>
      </c>
      <c r="M389" s="87">
        <f t="shared" si="186"/>
        <v>1000</v>
      </c>
      <c r="N389" s="87">
        <f t="shared" si="186"/>
        <v>0</v>
      </c>
      <c r="O389" s="87">
        <f t="shared" si="186"/>
        <v>7000</v>
      </c>
      <c r="P389" s="87">
        <f t="shared" si="186"/>
        <v>0</v>
      </c>
      <c r="Q389" s="87">
        <f t="shared" si="186"/>
        <v>0</v>
      </c>
    </row>
    <row r="390" spans="1:17" s="84" customFormat="1" ht="11.45" customHeight="1">
      <c r="A390" s="85"/>
      <c r="B390" s="86" t="s">
        <v>41</v>
      </c>
      <c r="C390" s="85"/>
      <c r="D390" s="85"/>
      <c r="E390" s="85"/>
      <c r="F390" s="87">
        <v>0</v>
      </c>
      <c r="G390" s="87">
        <v>0</v>
      </c>
      <c r="H390" s="87">
        <v>0</v>
      </c>
      <c r="I390" s="87">
        <v>0</v>
      </c>
      <c r="J390" s="87">
        <v>0</v>
      </c>
      <c r="K390" s="87">
        <v>0</v>
      </c>
      <c r="L390" s="87">
        <v>0</v>
      </c>
      <c r="M390" s="87">
        <v>0</v>
      </c>
      <c r="N390" s="87">
        <v>0</v>
      </c>
      <c r="O390" s="87">
        <v>0</v>
      </c>
      <c r="P390" s="87"/>
      <c r="Q390" s="87">
        <v>0</v>
      </c>
    </row>
    <row r="391" spans="1:17" s="84" customFormat="1" ht="11.45" customHeight="1">
      <c r="A391" s="85"/>
      <c r="B391" s="86" t="s">
        <v>209</v>
      </c>
      <c r="C391" s="85"/>
      <c r="D391" s="85"/>
      <c r="E391" s="85"/>
      <c r="F391" s="87">
        <v>0</v>
      </c>
      <c r="G391" s="87">
        <v>0</v>
      </c>
      <c r="H391" s="87">
        <v>0</v>
      </c>
      <c r="I391" s="87">
        <v>0</v>
      </c>
      <c r="J391" s="87">
        <v>0</v>
      </c>
      <c r="K391" s="87">
        <v>0</v>
      </c>
      <c r="L391" s="87">
        <v>0</v>
      </c>
      <c r="M391" s="87">
        <v>0</v>
      </c>
      <c r="N391" s="87">
        <v>0</v>
      </c>
      <c r="O391" s="87">
        <v>0</v>
      </c>
      <c r="P391" s="87"/>
      <c r="Q391" s="87">
        <v>0</v>
      </c>
    </row>
    <row r="392" spans="1:17" s="84" customFormat="1" ht="11.45" customHeight="1">
      <c r="A392" s="85"/>
      <c r="B392" s="86" t="s">
        <v>133</v>
      </c>
      <c r="C392" s="85"/>
      <c r="D392" s="85"/>
      <c r="E392" s="85"/>
      <c r="F392" s="87">
        <v>0</v>
      </c>
      <c r="G392" s="87">
        <v>0</v>
      </c>
      <c r="H392" s="87">
        <v>0</v>
      </c>
      <c r="I392" s="87">
        <v>0</v>
      </c>
      <c r="J392" s="87">
        <v>0</v>
      </c>
      <c r="K392" s="87">
        <v>0</v>
      </c>
      <c r="L392" s="87">
        <v>0</v>
      </c>
      <c r="M392" s="87">
        <v>0</v>
      </c>
      <c r="N392" s="87">
        <v>0</v>
      </c>
      <c r="O392" s="87">
        <v>0</v>
      </c>
      <c r="P392" s="87"/>
      <c r="Q392" s="87">
        <v>0</v>
      </c>
    </row>
    <row r="393" spans="1:17" s="84" customFormat="1" ht="11.45" customHeight="1">
      <c r="A393" s="85"/>
      <c r="B393" s="86" t="s">
        <v>37</v>
      </c>
      <c r="C393" s="85"/>
      <c r="D393" s="85"/>
      <c r="E393" s="85"/>
      <c r="F393" s="87">
        <v>0</v>
      </c>
      <c r="G393" s="87">
        <v>0</v>
      </c>
      <c r="H393" s="87">
        <v>0</v>
      </c>
      <c r="I393" s="87">
        <v>0</v>
      </c>
      <c r="J393" s="87">
        <v>0</v>
      </c>
      <c r="K393" s="87">
        <v>0</v>
      </c>
      <c r="L393" s="87">
        <v>0</v>
      </c>
      <c r="M393" s="87">
        <v>0</v>
      </c>
      <c r="N393" s="87">
        <v>0</v>
      </c>
      <c r="O393" s="87">
        <v>0</v>
      </c>
      <c r="P393" s="87"/>
      <c r="Q393" s="87">
        <v>0</v>
      </c>
    </row>
    <row r="394" spans="1:17" s="84" customFormat="1" ht="11.45" customHeight="1">
      <c r="A394" s="88"/>
      <c r="B394" s="89" t="s">
        <v>294</v>
      </c>
      <c r="C394" s="88"/>
      <c r="D394" s="88"/>
      <c r="E394" s="88"/>
      <c r="F394" s="90">
        <f>SUM(F395:F399)</f>
        <v>73886.981</v>
      </c>
      <c r="G394" s="90">
        <f t="shared" ref="G394:Q394" si="187">SUM(G395:G399)</f>
        <v>44773.906999999999</v>
      </c>
      <c r="H394" s="90">
        <f>SUM(H395:H399)</f>
        <v>46322.481</v>
      </c>
      <c r="I394" s="90">
        <f t="shared" si="187"/>
        <v>24594.5</v>
      </c>
      <c r="J394" s="90">
        <f t="shared" si="187"/>
        <v>1548.5740000000001</v>
      </c>
      <c r="K394" s="90">
        <f t="shared" si="187"/>
        <v>3084.5</v>
      </c>
      <c r="L394" s="90">
        <f t="shared" si="187"/>
        <v>4680</v>
      </c>
      <c r="M394" s="90">
        <f t="shared" si="187"/>
        <v>4430</v>
      </c>
      <c r="N394" s="90">
        <f t="shared" si="187"/>
        <v>4000</v>
      </c>
      <c r="O394" s="90">
        <f t="shared" si="187"/>
        <v>8400</v>
      </c>
      <c r="P394" s="90">
        <f t="shared" si="187"/>
        <v>2970</v>
      </c>
      <c r="Q394" s="90">
        <f t="shared" si="187"/>
        <v>2970</v>
      </c>
    </row>
    <row r="395" spans="1:17" s="84" customFormat="1" ht="11.45" customHeight="1">
      <c r="A395" s="85"/>
      <c r="B395" s="86" t="s">
        <v>29</v>
      </c>
      <c r="C395" s="85"/>
      <c r="D395" s="85"/>
      <c r="E395" s="85"/>
      <c r="F395" s="87">
        <f t="shared" ref="F395:Q395" si="188">F240+F243+F245</f>
        <v>68836.760999999999</v>
      </c>
      <c r="G395" s="87">
        <f t="shared" si="188"/>
        <v>39723.686999999998</v>
      </c>
      <c r="H395" s="87">
        <f t="shared" si="188"/>
        <v>41272.260999999999</v>
      </c>
      <c r="I395" s="87">
        <f t="shared" si="188"/>
        <v>24594.5</v>
      </c>
      <c r="J395" s="87">
        <f t="shared" si="188"/>
        <v>1548.5740000000001</v>
      </c>
      <c r="K395" s="87">
        <f t="shared" si="188"/>
        <v>3084.5</v>
      </c>
      <c r="L395" s="87">
        <f t="shared" si="188"/>
        <v>4680</v>
      </c>
      <c r="M395" s="87">
        <f t="shared" si="188"/>
        <v>4430</v>
      </c>
      <c r="N395" s="87">
        <f t="shared" si="188"/>
        <v>4000</v>
      </c>
      <c r="O395" s="87">
        <f t="shared" si="188"/>
        <v>8400</v>
      </c>
      <c r="P395" s="87">
        <f t="shared" si="188"/>
        <v>2970</v>
      </c>
      <c r="Q395" s="87">
        <f t="shared" si="188"/>
        <v>2970</v>
      </c>
    </row>
    <row r="396" spans="1:17" s="84" customFormat="1" ht="11.45" customHeight="1">
      <c r="A396" s="85"/>
      <c r="B396" s="86" t="s">
        <v>41</v>
      </c>
      <c r="C396" s="85"/>
      <c r="D396" s="85"/>
      <c r="E396" s="85"/>
      <c r="F396" s="87">
        <v>0</v>
      </c>
      <c r="G396" s="87">
        <v>0</v>
      </c>
      <c r="H396" s="87">
        <v>0</v>
      </c>
      <c r="I396" s="87">
        <v>0</v>
      </c>
      <c r="J396" s="87">
        <v>0</v>
      </c>
      <c r="K396" s="87">
        <v>0</v>
      </c>
      <c r="L396" s="87">
        <v>0</v>
      </c>
      <c r="M396" s="87">
        <v>0</v>
      </c>
      <c r="N396" s="87">
        <v>0</v>
      </c>
      <c r="O396" s="87">
        <v>0</v>
      </c>
      <c r="P396" s="87">
        <v>0</v>
      </c>
      <c r="Q396" s="87">
        <v>0</v>
      </c>
    </row>
    <row r="397" spans="1:17" s="84" customFormat="1" ht="11.45" customHeight="1">
      <c r="A397" s="85"/>
      <c r="B397" s="86" t="s">
        <v>209</v>
      </c>
      <c r="C397" s="85"/>
      <c r="D397" s="85"/>
      <c r="E397" s="85"/>
      <c r="F397" s="87">
        <f>F241</f>
        <v>5050.22</v>
      </c>
      <c r="G397" s="87">
        <f t="shared" ref="G397:Q397" si="189">G241</f>
        <v>5050.22</v>
      </c>
      <c r="H397" s="87">
        <f t="shared" si="189"/>
        <v>5050.22</v>
      </c>
      <c r="I397" s="87">
        <f t="shared" si="189"/>
        <v>0</v>
      </c>
      <c r="J397" s="87">
        <f t="shared" si="189"/>
        <v>0</v>
      </c>
      <c r="K397" s="87">
        <f t="shared" si="189"/>
        <v>0</v>
      </c>
      <c r="L397" s="87">
        <f t="shared" si="189"/>
        <v>0</v>
      </c>
      <c r="M397" s="87">
        <f t="shared" si="189"/>
        <v>0</v>
      </c>
      <c r="N397" s="87">
        <f t="shared" si="189"/>
        <v>0</v>
      </c>
      <c r="O397" s="87">
        <f t="shared" si="189"/>
        <v>0</v>
      </c>
      <c r="P397" s="87">
        <f t="shared" si="189"/>
        <v>0</v>
      </c>
      <c r="Q397" s="87">
        <f t="shared" si="189"/>
        <v>0</v>
      </c>
    </row>
    <row r="398" spans="1:17" s="84" customFormat="1" ht="11.45" customHeight="1">
      <c r="A398" s="85"/>
      <c r="B398" s="86" t="s">
        <v>133</v>
      </c>
      <c r="C398" s="85"/>
      <c r="D398" s="85"/>
      <c r="E398" s="85"/>
      <c r="F398" s="87">
        <v>0</v>
      </c>
      <c r="G398" s="87">
        <v>0</v>
      </c>
      <c r="H398" s="87">
        <v>0</v>
      </c>
      <c r="I398" s="87">
        <v>0</v>
      </c>
      <c r="J398" s="87">
        <v>0</v>
      </c>
      <c r="K398" s="87">
        <v>0</v>
      </c>
      <c r="L398" s="87">
        <v>0</v>
      </c>
      <c r="M398" s="87">
        <v>0</v>
      </c>
      <c r="N398" s="87">
        <v>0</v>
      </c>
      <c r="O398" s="87">
        <v>0</v>
      </c>
      <c r="P398" s="87">
        <v>0</v>
      </c>
      <c r="Q398" s="87">
        <v>0</v>
      </c>
    </row>
    <row r="399" spans="1:17" s="84" customFormat="1" ht="11.45" customHeight="1">
      <c r="A399" s="85"/>
      <c r="B399" s="86" t="s">
        <v>37</v>
      </c>
      <c r="C399" s="85"/>
      <c r="D399" s="85"/>
      <c r="E399" s="85"/>
      <c r="F399" s="87">
        <v>0</v>
      </c>
      <c r="G399" s="87">
        <v>0</v>
      </c>
      <c r="H399" s="87">
        <v>0</v>
      </c>
      <c r="I399" s="87">
        <v>0</v>
      </c>
      <c r="J399" s="87">
        <v>0</v>
      </c>
      <c r="K399" s="87">
        <v>0</v>
      </c>
      <c r="L399" s="87">
        <v>0</v>
      </c>
      <c r="M399" s="87">
        <v>0</v>
      </c>
      <c r="N399" s="87">
        <v>0</v>
      </c>
      <c r="O399" s="87">
        <v>0</v>
      </c>
      <c r="P399" s="87">
        <v>0</v>
      </c>
      <c r="Q399" s="87">
        <v>0</v>
      </c>
    </row>
    <row r="400" spans="1:17" s="84" customFormat="1" ht="11.45" customHeight="1">
      <c r="A400" s="88"/>
      <c r="B400" s="89" t="s">
        <v>295</v>
      </c>
      <c r="C400" s="88"/>
      <c r="D400" s="88"/>
      <c r="E400" s="88"/>
      <c r="F400" s="90">
        <f>SUM(F401:F405)</f>
        <v>120008.33600000001</v>
      </c>
      <c r="G400" s="90">
        <f t="shared" ref="G400:Q400" si="190">SUM(G401:G405)</f>
        <v>49349.123999999996</v>
      </c>
      <c r="H400" s="90">
        <f>SUM(H401:H405)</f>
        <v>53492.229999999996</v>
      </c>
      <c r="I400" s="90">
        <f t="shared" si="190"/>
        <v>47616.106</v>
      </c>
      <c r="J400" s="90">
        <f t="shared" si="190"/>
        <v>4143.1059999999998</v>
      </c>
      <c r="K400" s="90">
        <f t="shared" si="190"/>
        <v>6466.1059999999998</v>
      </c>
      <c r="L400" s="90">
        <f t="shared" si="190"/>
        <v>4600</v>
      </c>
      <c r="M400" s="90">
        <f t="shared" si="190"/>
        <v>12060</v>
      </c>
      <c r="N400" s="90">
        <f t="shared" si="190"/>
        <v>13990</v>
      </c>
      <c r="O400" s="90">
        <f t="shared" si="190"/>
        <v>10500</v>
      </c>
      <c r="P400" s="90">
        <f t="shared" si="190"/>
        <v>18900</v>
      </c>
      <c r="Q400" s="90">
        <f t="shared" si="190"/>
        <v>18900</v>
      </c>
    </row>
    <row r="401" spans="1:17" s="84" customFormat="1" ht="11.45" customHeight="1">
      <c r="A401" s="85"/>
      <c r="B401" s="86" t="s">
        <v>29</v>
      </c>
      <c r="C401" s="85"/>
      <c r="D401" s="85"/>
      <c r="E401" s="85"/>
      <c r="F401" s="87">
        <f>F248+F250+F255+F252</f>
        <v>101817.27900000001</v>
      </c>
      <c r="G401" s="87">
        <f t="shared" ref="G401:Q401" si="191">G248+G250+G255+G252</f>
        <v>49349.123999999996</v>
      </c>
      <c r="H401" s="87">
        <f t="shared" si="191"/>
        <v>53492.229999999996</v>
      </c>
      <c r="I401" s="87">
        <f t="shared" si="191"/>
        <v>32225.048999999999</v>
      </c>
      <c r="J401" s="87">
        <f t="shared" si="191"/>
        <v>4143.1059999999998</v>
      </c>
      <c r="K401" s="87">
        <f t="shared" si="191"/>
        <v>6466.1059999999998</v>
      </c>
      <c r="L401" s="87">
        <f t="shared" si="191"/>
        <v>4530.8940000000002</v>
      </c>
      <c r="M401" s="87">
        <f t="shared" si="191"/>
        <v>7238.049</v>
      </c>
      <c r="N401" s="87">
        <f t="shared" si="191"/>
        <v>6990</v>
      </c>
      <c r="O401" s="87">
        <f t="shared" si="191"/>
        <v>7000</v>
      </c>
      <c r="P401" s="87">
        <f t="shared" si="191"/>
        <v>16100</v>
      </c>
      <c r="Q401" s="87">
        <f t="shared" si="191"/>
        <v>16100</v>
      </c>
    </row>
    <row r="402" spans="1:17" s="84" customFormat="1" ht="11.45" customHeight="1">
      <c r="A402" s="85"/>
      <c r="B402" s="86" t="s">
        <v>41</v>
      </c>
      <c r="C402" s="85"/>
      <c r="D402" s="85"/>
      <c r="E402" s="85"/>
      <c r="F402" s="87">
        <f>F256+F253</f>
        <v>18191.057000000001</v>
      </c>
      <c r="G402" s="87">
        <f t="shared" ref="G402:Q402" si="192">G256+G253</f>
        <v>0</v>
      </c>
      <c r="H402" s="87">
        <f t="shared" si="192"/>
        <v>0</v>
      </c>
      <c r="I402" s="87">
        <f t="shared" si="192"/>
        <v>15391.057000000001</v>
      </c>
      <c r="J402" s="87">
        <f t="shared" si="192"/>
        <v>0</v>
      </c>
      <c r="K402" s="87">
        <f t="shared" si="192"/>
        <v>0</v>
      </c>
      <c r="L402" s="87">
        <f t="shared" si="192"/>
        <v>69.105999999999995</v>
      </c>
      <c r="M402" s="87">
        <f t="shared" si="192"/>
        <v>4821.951</v>
      </c>
      <c r="N402" s="87">
        <f t="shared" si="192"/>
        <v>7000</v>
      </c>
      <c r="O402" s="87">
        <f t="shared" si="192"/>
        <v>3500</v>
      </c>
      <c r="P402" s="87">
        <f t="shared" si="192"/>
        <v>2800</v>
      </c>
      <c r="Q402" s="87">
        <f t="shared" si="192"/>
        <v>2800</v>
      </c>
    </row>
    <row r="403" spans="1:17" s="84" customFormat="1" ht="11.45" customHeight="1">
      <c r="A403" s="85"/>
      <c r="B403" s="86" t="s">
        <v>209</v>
      </c>
      <c r="C403" s="85"/>
      <c r="D403" s="85"/>
      <c r="E403" s="85"/>
      <c r="F403" s="87">
        <v>0</v>
      </c>
      <c r="G403" s="87">
        <v>0</v>
      </c>
      <c r="H403" s="87">
        <v>0</v>
      </c>
      <c r="I403" s="87">
        <v>0</v>
      </c>
      <c r="J403" s="87">
        <v>0</v>
      </c>
      <c r="K403" s="87">
        <v>0</v>
      </c>
      <c r="L403" s="87">
        <v>0</v>
      </c>
      <c r="M403" s="87">
        <v>0</v>
      </c>
      <c r="N403" s="87">
        <v>0</v>
      </c>
      <c r="O403" s="87">
        <v>0</v>
      </c>
      <c r="P403" s="87"/>
      <c r="Q403" s="87">
        <v>0</v>
      </c>
    </row>
    <row r="404" spans="1:17" s="84" customFormat="1" ht="11.45" customHeight="1">
      <c r="A404" s="85"/>
      <c r="B404" s="86" t="s">
        <v>133</v>
      </c>
      <c r="C404" s="85"/>
      <c r="D404" s="85"/>
      <c r="E404" s="85"/>
      <c r="F404" s="87">
        <v>0</v>
      </c>
      <c r="G404" s="87">
        <v>0</v>
      </c>
      <c r="H404" s="87">
        <v>0</v>
      </c>
      <c r="I404" s="87">
        <v>0</v>
      </c>
      <c r="J404" s="87">
        <v>0</v>
      </c>
      <c r="K404" s="87">
        <v>0</v>
      </c>
      <c r="L404" s="87">
        <v>0</v>
      </c>
      <c r="M404" s="87">
        <v>0</v>
      </c>
      <c r="N404" s="87">
        <v>0</v>
      </c>
      <c r="O404" s="87">
        <v>0</v>
      </c>
      <c r="P404" s="87"/>
      <c r="Q404" s="87">
        <v>0</v>
      </c>
    </row>
    <row r="405" spans="1:17" s="84" customFormat="1" ht="11.45" customHeight="1">
      <c r="A405" s="85"/>
      <c r="B405" s="86" t="s">
        <v>37</v>
      </c>
      <c r="C405" s="85"/>
      <c r="D405" s="85"/>
      <c r="E405" s="85"/>
      <c r="F405" s="87">
        <v>0</v>
      </c>
      <c r="G405" s="87">
        <v>0</v>
      </c>
      <c r="H405" s="87">
        <v>0</v>
      </c>
      <c r="I405" s="87">
        <v>0</v>
      </c>
      <c r="J405" s="87">
        <v>0</v>
      </c>
      <c r="K405" s="87">
        <v>0</v>
      </c>
      <c r="L405" s="87">
        <v>0</v>
      </c>
      <c r="M405" s="87">
        <v>0</v>
      </c>
      <c r="N405" s="87">
        <v>0</v>
      </c>
      <c r="O405" s="87">
        <v>0</v>
      </c>
      <c r="P405" s="87"/>
      <c r="Q405" s="87">
        <v>0</v>
      </c>
    </row>
    <row r="406" spans="1:17" s="84" customFormat="1" ht="11.45" customHeight="1">
      <c r="A406" s="88"/>
      <c r="B406" s="89" t="s">
        <v>296</v>
      </c>
      <c r="C406" s="88"/>
      <c r="D406" s="88"/>
      <c r="E406" s="88"/>
      <c r="F406" s="90">
        <f>SUM(F407:F411)</f>
        <v>1255109.7110000001</v>
      </c>
      <c r="G406" s="90">
        <f t="shared" ref="G406:Q406" si="193">SUM(G407:G411)</f>
        <v>979809.42000000016</v>
      </c>
      <c r="H406" s="90">
        <f>SUM(H407:H411)</f>
        <v>1029979.639</v>
      </c>
      <c r="I406" s="90">
        <f t="shared" si="193"/>
        <v>200860.07200000001</v>
      </c>
      <c r="J406" s="90">
        <f t="shared" si="193"/>
        <v>50170.219000000005</v>
      </c>
      <c r="K406" s="90">
        <f t="shared" si="193"/>
        <v>62531.170999999995</v>
      </c>
      <c r="L406" s="90">
        <f t="shared" si="193"/>
        <v>79247.196000000011</v>
      </c>
      <c r="M406" s="90">
        <f t="shared" si="193"/>
        <v>22151.705000000002</v>
      </c>
      <c r="N406" s="90">
        <f t="shared" si="193"/>
        <v>17360</v>
      </c>
      <c r="O406" s="90">
        <f t="shared" si="193"/>
        <v>19570</v>
      </c>
      <c r="P406" s="90">
        <f t="shared" si="193"/>
        <v>5000</v>
      </c>
      <c r="Q406" s="90">
        <f t="shared" si="193"/>
        <v>24270</v>
      </c>
    </row>
    <row r="407" spans="1:17" s="84" customFormat="1" ht="11.45" customHeight="1">
      <c r="A407" s="85"/>
      <c r="B407" s="86" t="s">
        <v>29</v>
      </c>
      <c r="C407" s="85"/>
      <c r="D407" s="85"/>
      <c r="E407" s="85"/>
      <c r="F407" s="87">
        <f>F259+F263+F266+F268+F272+F275+F277+F280+F283+F285+F287+F291</f>
        <v>1052966.4909999999</v>
      </c>
      <c r="G407" s="87">
        <f t="shared" ref="G407:Q407" si="194">G259+G263+G266+G268+G272+G275+G277+G280+G283+G285+G287+G291</f>
        <v>816835.80000000016</v>
      </c>
      <c r="H407" s="87">
        <f t="shared" si="194"/>
        <v>863473.06799999997</v>
      </c>
      <c r="I407" s="87">
        <f t="shared" si="194"/>
        <v>165223.42300000001</v>
      </c>
      <c r="J407" s="87">
        <f t="shared" si="194"/>
        <v>46637.268000000004</v>
      </c>
      <c r="K407" s="87">
        <f t="shared" si="194"/>
        <v>53360.138999999996</v>
      </c>
      <c r="L407" s="87">
        <f t="shared" si="194"/>
        <v>67181.579000000012</v>
      </c>
      <c r="M407" s="87">
        <f t="shared" si="194"/>
        <v>12251.705</v>
      </c>
      <c r="N407" s="87">
        <f t="shared" si="194"/>
        <v>12860</v>
      </c>
      <c r="O407" s="87">
        <f t="shared" si="194"/>
        <v>19570</v>
      </c>
      <c r="P407" s="87">
        <f t="shared" si="194"/>
        <v>5000</v>
      </c>
      <c r="Q407" s="87">
        <f t="shared" si="194"/>
        <v>24270</v>
      </c>
    </row>
    <row r="408" spans="1:17" s="84" customFormat="1" ht="11.45" customHeight="1">
      <c r="A408" s="85"/>
      <c r="B408" s="86" t="s">
        <v>41</v>
      </c>
      <c r="C408" s="85"/>
      <c r="D408" s="85"/>
      <c r="E408" s="85"/>
      <c r="F408" s="87">
        <f>F260+F269+F288</f>
        <v>131996.62</v>
      </c>
      <c r="G408" s="87">
        <f t="shared" ref="G408:Q408" si="195">G260+G269+G288</f>
        <v>131996.62</v>
      </c>
      <c r="H408" s="87">
        <f t="shared" si="195"/>
        <v>131996.62</v>
      </c>
      <c r="I408" s="87">
        <f t="shared" si="195"/>
        <v>0</v>
      </c>
      <c r="J408" s="87">
        <f t="shared" si="195"/>
        <v>0</v>
      </c>
      <c r="K408" s="87">
        <f t="shared" si="195"/>
        <v>0</v>
      </c>
      <c r="L408" s="87">
        <f t="shared" si="195"/>
        <v>0</v>
      </c>
      <c r="M408" s="87">
        <f t="shared" si="195"/>
        <v>0</v>
      </c>
      <c r="N408" s="87">
        <f t="shared" si="195"/>
        <v>0</v>
      </c>
      <c r="O408" s="87">
        <f t="shared" si="195"/>
        <v>0</v>
      </c>
      <c r="P408" s="87">
        <f t="shared" si="195"/>
        <v>0</v>
      </c>
      <c r="Q408" s="87">
        <f t="shared" si="195"/>
        <v>0</v>
      </c>
    </row>
    <row r="409" spans="1:17" s="84" customFormat="1" ht="11.45" customHeight="1">
      <c r="A409" s="85"/>
      <c r="B409" s="86" t="s">
        <v>209</v>
      </c>
      <c r="C409" s="85"/>
      <c r="D409" s="85"/>
      <c r="E409" s="85"/>
      <c r="F409" s="87">
        <v>0</v>
      </c>
      <c r="G409" s="87">
        <v>0</v>
      </c>
      <c r="H409" s="87">
        <v>0</v>
      </c>
      <c r="I409" s="87">
        <v>0</v>
      </c>
      <c r="J409" s="87">
        <v>0</v>
      </c>
      <c r="K409" s="87">
        <v>0</v>
      </c>
      <c r="L409" s="87">
        <v>0</v>
      </c>
      <c r="M409" s="87">
        <v>0</v>
      </c>
      <c r="N409" s="87">
        <v>0</v>
      </c>
      <c r="O409" s="87">
        <v>0</v>
      </c>
      <c r="P409" s="87"/>
      <c r="Q409" s="87">
        <v>0</v>
      </c>
    </row>
    <row r="410" spans="1:17" s="84" customFormat="1" ht="11.45" customHeight="1">
      <c r="A410" s="85"/>
      <c r="B410" s="86" t="s">
        <v>133</v>
      </c>
      <c r="C410" s="85"/>
      <c r="D410" s="85"/>
      <c r="E410" s="85"/>
      <c r="F410" s="87">
        <f t="shared" ref="F410:Q410" si="196">F264+F273+F278+F281</f>
        <v>47345.599999999999</v>
      </c>
      <c r="G410" s="87">
        <f t="shared" si="196"/>
        <v>8320</v>
      </c>
      <c r="H410" s="87">
        <f t="shared" si="196"/>
        <v>11852.951000000001</v>
      </c>
      <c r="I410" s="87">
        <f t="shared" si="196"/>
        <v>35492.649000000005</v>
      </c>
      <c r="J410" s="87">
        <f t="shared" si="196"/>
        <v>3532.951</v>
      </c>
      <c r="K410" s="87">
        <f t="shared" si="196"/>
        <v>9171.0319999999992</v>
      </c>
      <c r="L410" s="87">
        <f t="shared" si="196"/>
        <v>11921.617</v>
      </c>
      <c r="M410" s="87">
        <f t="shared" si="196"/>
        <v>9900</v>
      </c>
      <c r="N410" s="87">
        <f t="shared" si="196"/>
        <v>4500</v>
      </c>
      <c r="O410" s="87">
        <f t="shared" si="196"/>
        <v>0</v>
      </c>
      <c r="P410" s="87">
        <f t="shared" si="196"/>
        <v>0</v>
      </c>
      <c r="Q410" s="87">
        <f t="shared" si="196"/>
        <v>0</v>
      </c>
    </row>
    <row r="411" spans="1:17" s="84" customFormat="1" ht="11.45" customHeight="1">
      <c r="A411" s="85"/>
      <c r="B411" s="86" t="s">
        <v>37</v>
      </c>
      <c r="C411" s="85"/>
      <c r="D411" s="85"/>
      <c r="E411" s="85"/>
      <c r="F411" s="87">
        <f t="shared" ref="F411:Q411" si="197">F261+F270+F289</f>
        <v>22801</v>
      </c>
      <c r="G411" s="87">
        <f t="shared" si="197"/>
        <v>22657</v>
      </c>
      <c r="H411" s="87">
        <f t="shared" si="197"/>
        <v>22657</v>
      </c>
      <c r="I411" s="87">
        <f t="shared" si="197"/>
        <v>144</v>
      </c>
      <c r="J411" s="87">
        <f t="shared" si="197"/>
        <v>0</v>
      </c>
      <c r="K411" s="87">
        <f t="shared" si="197"/>
        <v>0</v>
      </c>
      <c r="L411" s="87">
        <f t="shared" si="197"/>
        <v>144</v>
      </c>
      <c r="M411" s="87">
        <f t="shared" si="197"/>
        <v>0</v>
      </c>
      <c r="N411" s="87">
        <f t="shared" si="197"/>
        <v>0</v>
      </c>
      <c r="O411" s="87">
        <f t="shared" si="197"/>
        <v>0</v>
      </c>
      <c r="P411" s="87">
        <f t="shared" si="197"/>
        <v>0</v>
      </c>
      <c r="Q411" s="87">
        <f t="shared" si="197"/>
        <v>0</v>
      </c>
    </row>
    <row r="412" spans="1:17" s="84" customFormat="1" ht="11.45" customHeight="1">
      <c r="A412" s="88"/>
      <c r="B412" s="89" t="s">
        <v>297</v>
      </c>
      <c r="C412" s="88"/>
      <c r="D412" s="88"/>
      <c r="E412" s="88"/>
      <c r="F412" s="90">
        <f>SUM(F413:F417)</f>
        <v>808863.20399999991</v>
      </c>
      <c r="G412" s="90">
        <f t="shared" ref="G412:Q412" si="198">SUM(G413:G417)</f>
        <v>173939.71</v>
      </c>
      <c r="H412" s="90">
        <f>SUM(H413:H417)</f>
        <v>346740.658</v>
      </c>
      <c r="I412" s="90">
        <f t="shared" si="198"/>
        <v>252231.546</v>
      </c>
      <c r="J412" s="90">
        <f t="shared" si="198"/>
        <v>172791.94799999997</v>
      </c>
      <c r="K412" s="90">
        <f t="shared" si="198"/>
        <v>173092.17399999997</v>
      </c>
      <c r="L412" s="90">
        <f t="shared" si="198"/>
        <v>46452.480000000003</v>
      </c>
      <c r="M412" s="90">
        <f t="shared" si="198"/>
        <v>6737.7920000000004</v>
      </c>
      <c r="N412" s="90">
        <f t="shared" si="198"/>
        <v>19739.55</v>
      </c>
      <c r="O412" s="90">
        <f t="shared" si="198"/>
        <v>6209.55</v>
      </c>
      <c r="P412" s="90">
        <f t="shared" si="198"/>
        <v>8800</v>
      </c>
      <c r="Q412" s="90">
        <f t="shared" si="198"/>
        <v>209900</v>
      </c>
    </row>
    <row r="413" spans="1:17" s="84" customFormat="1" ht="11.45" customHeight="1">
      <c r="A413" s="85"/>
      <c r="B413" s="86" t="s">
        <v>29</v>
      </c>
      <c r="C413" s="85"/>
      <c r="D413" s="85"/>
      <c r="E413" s="85"/>
      <c r="F413" s="87">
        <f t="shared" ref="F413:Q413" si="199">F294+F297+F299+F302+F304+F307+F309+F311+F313+F317+F324+F315+F322+F319</f>
        <v>634511.21</v>
      </c>
      <c r="G413" s="87">
        <f t="shared" si="199"/>
        <v>128552.79399999999</v>
      </c>
      <c r="H413" s="87">
        <f t="shared" si="199"/>
        <v>230388.24299999999</v>
      </c>
      <c r="I413" s="87">
        <f t="shared" si="199"/>
        <v>194231.967</v>
      </c>
      <c r="J413" s="87">
        <f t="shared" si="199"/>
        <v>101826.44899999999</v>
      </c>
      <c r="K413" s="87">
        <f t="shared" si="199"/>
        <v>137532.13499999998</v>
      </c>
      <c r="L413" s="87">
        <f t="shared" si="199"/>
        <v>34836.94</v>
      </c>
      <c r="M413" s="87">
        <f t="shared" si="199"/>
        <v>6737.7920000000004</v>
      </c>
      <c r="N413" s="87">
        <f t="shared" si="199"/>
        <v>8915.5499999999993</v>
      </c>
      <c r="O413" s="87">
        <f t="shared" si="199"/>
        <v>6209.55</v>
      </c>
      <c r="P413" s="87">
        <f t="shared" si="199"/>
        <v>8800</v>
      </c>
      <c r="Q413" s="87">
        <f t="shared" si="199"/>
        <v>209900</v>
      </c>
    </row>
    <row r="414" spans="1:17" s="84" customFormat="1" ht="11.45" customHeight="1">
      <c r="A414" s="85"/>
      <c r="B414" s="86" t="s">
        <v>41</v>
      </c>
      <c r="C414" s="85"/>
      <c r="D414" s="85"/>
      <c r="E414" s="85"/>
      <c r="F414" s="87">
        <f t="shared" ref="F414:Q414" si="200">F295+F300+F305+F320</f>
        <v>174351.99400000001</v>
      </c>
      <c r="G414" s="87">
        <f t="shared" si="200"/>
        <v>45386.915999999997</v>
      </c>
      <c r="H414" s="87">
        <f t="shared" si="200"/>
        <v>116352.41499999999</v>
      </c>
      <c r="I414" s="87">
        <f t="shared" si="200"/>
        <v>57999.579000000005</v>
      </c>
      <c r="J414" s="87">
        <f t="shared" si="200"/>
        <v>70965.498999999996</v>
      </c>
      <c r="K414" s="87">
        <f t="shared" si="200"/>
        <v>35560.038999999997</v>
      </c>
      <c r="L414" s="87">
        <f>L295+L300+L305+L320</f>
        <v>11615.54</v>
      </c>
      <c r="M414" s="87">
        <f t="shared" si="200"/>
        <v>0</v>
      </c>
      <c r="N414" s="87">
        <f t="shared" si="200"/>
        <v>10824</v>
      </c>
      <c r="O414" s="87">
        <f t="shared" si="200"/>
        <v>0</v>
      </c>
      <c r="P414" s="87">
        <f t="shared" si="200"/>
        <v>0</v>
      </c>
      <c r="Q414" s="87">
        <f t="shared" si="200"/>
        <v>0</v>
      </c>
    </row>
    <row r="415" spans="1:17" s="84" customFormat="1" ht="11.45" customHeight="1">
      <c r="A415" s="85"/>
      <c r="B415" s="86" t="s">
        <v>209</v>
      </c>
      <c r="C415" s="85"/>
      <c r="D415" s="85"/>
      <c r="E415" s="85"/>
      <c r="F415" s="87">
        <v>0</v>
      </c>
      <c r="G415" s="87">
        <v>0</v>
      </c>
      <c r="H415" s="87">
        <v>0</v>
      </c>
      <c r="I415" s="87">
        <v>0</v>
      </c>
      <c r="J415" s="87">
        <v>0</v>
      </c>
      <c r="K415" s="87">
        <v>0</v>
      </c>
      <c r="L415" s="87">
        <v>0</v>
      </c>
      <c r="M415" s="87">
        <v>0</v>
      </c>
      <c r="N415" s="87">
        <v>0</v>
      </c>
      <c r="O415" s="87">
        <v>0</v>
      </c>
      <c r="P415" s="87">
        <v>0</v>
      </c>
      <c r="Q415" s="87">
        <v>0</v>
      </c>
    </row>
    <row r="416" spans="1:17" s="84" customFormat="1" ht="11.45" customHeight="1">
      <c r="A416" s="85"/>
      <c r="B416" s="86" t="s">
        <v>133</v>
      </c>
      <c r="C416" s="85"/>
      <c r="D416" s="85"/>
      <c r="E416" s="85"/>
      <c r="F416" s="87">
        <v>0</v>
      </c>
      <c r="G416" s="87">
        <v>0</v>
      </c>
      <c r="H416" s="87">
        <v>0</v>
      </c>
      <c r="I416" s="87">
        <v>0</v>
      </c>
      <c r="J416" s="87">
        <v>0</v>
      </c>
      <c r="K416" s="87">
        <v>0</v>
      </c>
      <c r="L416" s="87">
        <v>0</v>
      </c>
      <c r="M416" s="87">
        <v>0</v>
      </c>
      <c r="N416" s="87">
        <v>0</v>
      </c>
      <c r="O416" s="87">
        <v>0</v>
      </c>
      <c r="P416" s="87">
        <v>0</v>
      </c>
      <c r="Q416" s="87">
        <v>0</v>
      </c>
    </row>
    <row r="417" spans="1:17" s="84" customFormat="1" ht="11.45" customHeight="1">
      <c r="A417" s="85"/>
      <c r="B417" s="86" t="s">
        <v>37</v>
      </c>
      <c r="C417" s="85"/>
      <c r="D417" s="85"/>
      <c r="E417" s="85"/>
      <c r="F417" s="87">
        <v>0</v>
      </c>
      <c r="G417" s="87">
        <v>0</v>
      </c>
      <c r="H417" s="87">
        <v>0</v>
      </c>
      <c r="I417" s="87">
        <v>0</v>
      </c>
      <c r="J417" s="87">
        <v>0</v>
      </c>
      <c r="K417" s="87">
        <v>0</v>
      </c>
      <c r="L417" s="87">
        <v>0</v>
      </c>
      <c r="M417" s="87">
        <v>0</v>
      </c>
      <c r="N417" s="87">
        <v>0</v>
      </c>
      <c r="O417" s="87">
        <v>0</v>
      </c>
      <c r="P417" s="87">
        <v>0</v>
      </c>
      <c r="Q417" s="87">
        <v>0</v>
      </c>
    </row>
    <row r="418" spans="1:17" s="84" customFormat="1" ht="11.45" customHeight="1">
      <c r="A418" s="88"/>
      <c r="B418" s="89" t="s">
        <v>298</v>
      </c>
      <c r="C418" s="88"/>
      <c r="D418" s="88"/>
      <c r="E418" s="88"/>
      <c r="F418" s="90">
        <f>SUM(F419:F423)</f>
        <v>352623.408</v>
      </c>
      <c r="G418" s="90">
        <f t="shared" ref="G418:Q418" si="201">SUM(G419:G423)</f>
        <v>51809.406999999999</v>
      </c>
      <c r="H418" s="90">
        <f>SUM(H419:H423)</f>
        <v>54346.699000000001</v>
      </c>
      <c r="I418" s="90">
        <f t="shared" si="201"/>
        <v>214095.709</v>
      </c>
      <c r="J418" s="90">
        <f t="shared" si="201"/>
        <v>2537.2919999999999</v>
      </c>
      <c r="K418" s="90">
        <f t="shared" si="201"/>
        <v>23021</v>
      </c>
      <c r="L418" s="90">
        <f t="shared" si="201"/>
        <v>63166.228999999999</v>
      </c>
      <c r="M418" s="90">
        <f t="shared" si="201"/>
        <v>23335.791999999998</v>
      </c>
      <c r="N418" s="90">
        <f t="shared" si="201"/>
        <v>41165.798999999999</v>
      </c>
      <c r="O418" s="90">
        <f t="shared" si="201"/>
        <v>63406.888999999996</v>
      </c>
      <c r="P418" s="90">
        <f t="shared" si="201"/>
        <v>33726.888999999996</v>
      </c>
      <c r="Q418" s="90">
        <f t="shared" si="201"/>
        <v>84181</v>
      </c>
    </row>
    <row r="419" spans="1:17" s="84" customFormat="1" ht="11.45" customHeight="1">
      <c r="A419" s="85"/>
      <c r="B419" s="86" t="s">
        <v>29</v>
      </c>
      <c r="C419" s="85"/>
      <c r="D419" s="85"/>
      <c r="E419" s="85"/>
      <c r="F419" s="87">
        <f>F327+F329+F332+F334+F337+F339</f>
        <v>299479.32500000001</v>
      </c>
      <c r="G419" s="87">
        <f t="shared" ref="G419:Q419" si="202">G327+G329+G332+G334+G337+G339</f>
        <v>51809.406999999999</v>
      </c>
      <c r="H419" s="87">
        <f t="shared" si="202"/>
        <v>54346.699000000001</v>
      </c>
      <c r="I419" s="87">
        <f t="shared" si="202"/>
        <v>160951.62599999999</v>
      </c>
      <c r="J419" s="87">
        <f t="shared" si="202"/>
        <v>2537.2919999999999</v>
      </c>
      <c r="K419" s="87">
        <f t="shared" si="202"/>
        <v>16021</v>
      </c>
      <c r="L419" s="87">
        <f t="shared" si="202"/>
        <v>49764.406000000003</v>
      </c>
      <c r="M419" s="87">
        <f t="shared" si="202"/>
        <v>17714.531999999999</v>
      </c>
      <c r="N419" s="87">
        <f t="shared" si="202"/>
        <v>33430.798999999999</v>
      </c>
      <c r="O419" s="87">
        <f t="shared" si="202"/>
        <v>44020.888999999996</v>
      </c>
      <c r="P419" s="87">
        <f t="shared" si="202"/>
        <v>33726.888999999996</v>
      </c>
      <c r="Q419" s="87">
        <f t="shared" si="202"/>
        <v>84181</v>
      </c>
    </row>
    <row r="420" spans="1:17" s="84" customFormat="1" ht="11.45" customHeight="1">
      <c r="A420" s="85"/>
      <c r="B420" s="86" t="s">
        <v>41</v>
      </c>
      <c r="C420" s="85"/>
      <c r="D420" s="85"/>
      <c r="E420" s="85"/>
      <c r="F420" s="87">
        <f>F341</f>
        <v>27121</v>
      </c>
      <c r="G420" s="87">
        <f t="shared" ref="G420:Q420" si="203">G341</f>
        <v>0</v>
      </c>
      <c r="H420" s="87">
        <f>H341</f>
        <v>0</v>
      </c>
      <c r="I420" s="87">
        <f t="shared" si="203"/>
        <v>27121</v>
      </c>
      <c r="J420" s="87">
        <f t="shared" si="203"/>
        <v>0</v>
      </c>
      <c r="K420" s="87">
        <f t="shared" si="203"/>
        <v>0</v>
      </c>
      <c r="L420" s="87">
        <f t="shared" si="203"/>
        <v>0</v>
      </c>
      <c r="M420" s="87">
        <f t="shared" si="203"/>
        <v>0</v>
      </c>
      <c r="N420" s="87">
        <f t="shared" si="203"/>
        <v>7735</v>
      </c>
      <c r="O420" s="87">
        <f t="shared" si="203"/>
        <v>19386</v>
      </c>
      <c r="P420" s="87">
        <f t="shared" si="203"/>
        <v>0</v>
      </c>
      <c r="Q420" s="87">
        <f t="shared" si="203"/>
        <v>0</v>
      </c>
    </row>
    <row r="421" spans="1:17" s="84" customFormat="1" ht="11.45" customHeight="1">
      <c r="A421" s="85"/>
      <c r="B421" s="86" t="s">
        <v>209</v>
      </c>
      <c r="C421" s="85"/>
      <c r="D421" s="85"/>
      <c r="E421" s="85"/>
      <c r="F421" s="87">
        <f>F330+F335</f>
        <v>24973.1</v>
      </c>
      <c r="G421" s="87">
        <f t="shared" ref="G421:Q421" si="204">G330+G335</f>
        <v>0</v>
      </c>
      <c r="H421" s="87">
        <f t="shared" si="204"/>
        <v>0</v>
      </c>
      <c r="I421" s="87">
        <f t="shared" si="204"/>
        <v>24973.1</v>
      </c>
      <c r="J421" s="87">
        <f t="shared" si="204"/>
        <v>0</v>
      </c>
      <c r="K421" s="87">
        <f t="shared" si="204"/>
        <v>7000</v>
      </c>
      <c r="L421" s="87">
        <f t="shared" si="204"/>
        <v>13323.1</v>
      </c>
      <c r="M421" s="87">
        <f t="shared" si="204"/>
        <v>4650</v>
      </c>
      <c r="N421" s="87">
        <f t="shared" si="204"/>
        <v>0</v>
      </c>
      <c r="O421" s="87">
        <f t="shared" si="204"/>
        <v>0</v>
      </c>
      <c r="P421" s="87">
        <f t="shared" si="204"/>
        <v>0</v>
      </c>
      <c r="Q421" s="87">
        <f t="shared" si="204"/>
        <v>0</v>
      </c>
    </row>
    <row r="422" spans="1:17" s="84" customFormat="1" ht="11.45" customHeight="1">
      <c r="A422" s="85"/>
      <c r="B422" s="86" t="s">
        <v>299</v>
      </c>
      <c r="C422" s="85"/>
      <c r="D422" s="85"/>
      <c r="E422" s="85"/>
      <c r="F422" s="87">
        <f>F340</f>
        <v>1049.9829999999999</v>
      </c>
      <c r="G422" s="87">
        <f t="shared" ref="G422:Q422" si="205">G340</f>
        <v>0</v>
      </c>
      <c r="H422" s="87">
        <f t="shared" si="205"/>
        <v>0</v>
      </c>
      <c r="I422" s="87">
        <f t="shared" si="205"/>
        <v>1049.9829999999999</v>
      </c>
      <c r="J422" s="87">
        <f t="shared" si="205"/>
        <v>0</v>
      </c>
      <c r="K422" s="87">
        <f t="shared" si="205"/>
        <v>0</v>
      </c>
      <c r="L422" s="87">
        <f t="shared" si="205"/>
        <v>78.722999999999999</v>
      </c>
      <c r="M422" s="87">
        <f t="shared" si="205"/>
        <v>971.26</v>
      </c>
      <c r="N422" s="87">
        <f t="shared" si="205"/>
        <v>0</v>
      </c>
      <c r="O422" s="87">
        <f t="shared" si="205"/>
        <v>0</v>
      </c>
      <c r="P422" s="87">
        <f t="shared" si="205"/>
        <v>0</v>
      </c>
      <c r="Q422" s="87">
        <f t="shared" si="205"/>
        <v>0</v>
      </c>
    </row>
    <row r="423" spans="1:17" s="84" customFormat="1" ht="11.45" customHeight="1">
      <c r="A423" s="85"/>
      <c r="B423" s="86" t="s">
        <v>37</v>
      </c>
      <c r="C423" s="85"/>
      <c r="D423" s="85"/>
      <c r="E423" s="85"/>
      <c r="F423" s="87">
        <v>0</v>
      </c>
      <c r="G423" s="87">
        <v>0</v>
      </c>
      <c r="H423" s="87">
        <v>0</v>
      </c>
      <c r="I423" s="87">
        <v>0</v>
      </c>
      <c r="J423" s="87">
        <v>0</v>
      </c>
      <c r="K423" s="87">
        <v>0</v>
      </c>
      <c r="L423" s="87">
        <v>0</v>
      </c>
      <c r="M423" s="87">
        <v>0</v>
      </c>
      <c r="N423" s="87">
        <v>0</v>
      </c>
      <c r="O423" s="87">
        <v>0</v>
      </c>
      <c r="P423" s="87">
        <v>0</v>
      </c>
      <c r="Q423" s="87">
        <v>0</v>
      </c>
    </row>
    <row r="426" spans="1:17">
      <c r="P426" s="91">
        <f>P8+P16+P51+P133+P146+P210+P212+P215+P218+P221+P240+P243+P248+P327+P329+P334+P339+P341</f>
        <v>195594.095</v>
      </c>
    </row>
  </sheetData>
  <sheetProtection password="C4D5" sheet="1" objects="1" scenarios="1" formatCells="0" formatColumns="0" formatRows="0" insertColumns="0" insertRows="0" insertHyperlinks="0" deleteColumns="0" deleteRows="0" sort="0" autoFilter="0" pivotTables="0"/>
  <mergeCells count="20">
    <mergeCell ref="A343:Q343"/>
    <mergeCell ref="A231:Q231"/>
    <mergeCell ref="A238:Q238"/>
    <mergeCell ref="A246:Q246"/>
    <mergeCell ref="A257:Q257"/>
    <mergeCell ref="A292:Q292"/>
    <mergeCell ref="A325:Q325"/>
    <mergeCell ref="A208:Q208"/>
    <mergeCell ref="N1:Q1"/>
    <mergeCell ref="A2:Q2"/>
    <mergeCell ref="A3:A4"/>
    <mergeCell ref="B3:B4"/>
    <mergeCell ref="C3:C4"/>
    <mergeCell ref="D3:D4"/>
    <mergeCell ref="E3:Q3"/>
    <mergeCell ref="A6:Q6"/>
    <mergeCell ref="A119:Q119"/>
    <mergeCell ref="A151:Q151"/>
    <mergeCell ref="A165:Q165"/>
    <mergeCell ref="A203:Q203"/>
  </mergeCells>
  <printOptions horizontalCentered="1"/>
  <pageMargins left="0" right="0" top="0.39370078740157483" bottom="0.35433070866141736" header="0.23622047244094491" footer="0.15748031496062992"/>
  <pageSetup paperSize="9" scale="91" firstPageNumber="3" fitToHeight="12" orientation="landscape" useFirstPageNumber="1" horizontalDpi="4294967293" r:id="rId1"/>
  <headerFooter>
    <oddHeader>&amp;R17-03-2016 r</oddHeader>
    <oddFooter>&amp;C&amp;P</oddFooter>
  </headerFooter>
  <rowBreaks count="8" manualBreakCount="8">
    <brk id="34" max="16383" man="1"/>
    <brk id="63" max="16" man="1"/>
    <brk id="122" max="16" man="1"/>
    <brk id="150" max="16" man="1"/>
    <brk id="205" max="16" man="1"/>
    <brk id="264" max="16" man="1"/>
    <brk id="330" max="16" man="1"/>
    <brk id="381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WPI 2015-2019 MARZEC</vt:lpstr>
      <vt:lpstr>'WPI 2015-2019 MARZEC'!Obszar_wydruku</vt:lpstr>
      <vt:lpstr>'WPI 2015-2019 MARZEC'!Tytuły_wydruku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umkahr01</dc:creator>
  <cp:lastModifiedBy>umkahr01</cp:lastModifiedBy>
  <cp:lastPrinted>2016-03-17T13:51:25Z</cp:lastPrinted>
  <dcterms:created xsi:type="dcterms:W3CDTF">2016-03-16T11:39:33Z</dcterms:created>
  <dcterms:modified xsi:type="dcterms:W3CDTF">2016-03-29T11:37:35Z</dcterms:modified>
</cp:coreProperties>
</file>